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Cris\AÑO 2018\pliegos  2018\informe de evaluacion final\"/>
    </mc:Choice>
  </mc:AlternateContent>
  <bookViews>
    <workbookView xWindow="0" yWindow="0" windowWidth="28800" windowHeight="11745" firstSheet="1" activeTab="2"/>
  </bookViews>
  <sheets>
    <sheet name="VERIFICACION JURIDICA" sheetId="60" r:id="rId1"/>
    <sheet name="VERIFICACION FINANCIERA" sheetId="61" r:id="rId2"/>
    <sheet name="VERIFICACION TECNICA" sheetId="57" r:id="rId3"/>
    <sheet name="VTE" sheetId="33" r:id="rId4"/>
    <sheet name="CALIFICACION PERSONAL" sheetId="58" r:id="rId5"/>
    <sheet name="CORREC. ARITM." sheetId="56" r:id="rId6"/>
    <sheet name="PO" sheetId="62" r:id="rId7"/>
    <sheet name="PROPUESTA ECONOMICA" sheetId="32" state="hidden" r:id="rId8"/>
  </sheets>
  <externalReferences>
    <externalReference r:id="rId9"/>
    <externalReference r:id="rId10"/>
    <externalReference r:id="rId11"/>
    <externalReference r:id="rId12"/>
    <externalReference r:id="rId13"/>
  </externalReferences>
  <definedNames>
    <definedName name="_Toc212325127" localSheetId="0">'VERIFICACION JURIDICA'!#REF!</definedName>
    <definedName name="_xlnm.Print_Area" localSheetId="4">'CALIFICACION PERSONAL'!$A$1:$L$29</definedName>
    <definedName name="_xlnm.Print_Area" localSheetId="0">'VERIFICACION JURIDICA'!$A$1:$J$36</definedName>
    <definedName name="_xlnm.Print_Area" localSheetId="2">'VERIFICACION TECNICA'!$A$1:$J$59</definedName>
    <definedName name="ELECTRICA" localSheetId="0">'[1]3.PRESUP. ELECTRICO'!$A$4:$G$212</definedName>
    <definedName name="ELECTRICA">'[2]3.PRESUP. ELECTRICO'!$A$4:$G$212</definedName>
    <definedName name="Export" localSheetId="4" hidden="1">{"'Hoja1'!$A$1:$I$70"}</definedName>
    <definedName name="Export" localSheetId="5"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'[3]VERIFICACION TECNICA'!$A$34:$B$37</definedName>
    <definedName name="formula" localSheetId="5">'[3]VERIFICACION TECNICA'!$A$34:$B$37</definedName>
    <definedName name="formula" localSheetId="1">#REF!</definedName>
    <definedName name="formula" localSheetId="2">'VERIFICACION TECNICA'!$A$35:$B$38</definedName>
    <definedName name="formula">#REF!</definedName>
    <definedName name="HTML_CodePage" hidden="1">1252</definedName>
    <definedName name="HTML_Control" localSheetId="4" hidden="1">{"'Hoja1'!$A$1:$I$70"}</definedName>
    <definedName name="HTML_Control" localSheetId="5"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 localSheetId="0">'[4]Planes Validar'!$B$2:$B$7</definedName>
    <definedName name="PROGRAMA">'[5]Planes Validar'!$B$2:$B$7</definedName>
    <definedName name="SELECCION" localSheetId="0">[4]Soluciones!$B$7</definedName>
    <definedName name="SELECCION">[5]Soluciones!$B$7</definedName>
    <definedName name="_xlnm.Print_Titles" localSheetId="4">'CALIFICACION PERSONAL'!$A:$D,'CALIFICACION PERSONAL'!$1:$12</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iterateDelta="1E-4"/>
  <extLst>
    <ext xmlns:mx="http://schemas.microsoft.com/office/mac/excel/2008/main" uri="{7523E5D3-25F3-A5E0-1632-64F254C22452}">
      <mx:ArchID Flags="2"/>
    </ext>
  </extLst>
</workbook>
</file>

<file path=xl/calcChain.xml><?xml version="1.0" encoding="utf-8"?>
<calcChain xmlns="http://schemas.openxmlformats.org/spreadsheetml/2006/main">
  <c r="B45" i="57" l="1"/>
  <c r="K27" i="57"/>
  <c r="J27" i="57"/>
  <c r="F27" i="57"/>
  <c r="P112" i="56" l="1"/>
  <c r="R105" i="56"/>
  <c r="Q105" i="56"/>
  <c r="R104" i="56"/>
  <c r="Q104" i="56"/>
  <c r="R103" i="56"/>
  <c r="Q103" i="56"/>
  <c r="Q106" i="56" s="1"/>
  <c r="R100" i="56"/>
  <c r="Q100" i="56"/>
  <c r="R99" i="56"/>
  <c r="Q99" i="56"/>
  <c r="R98" i="56"/>
  <c r="Q98" i="56"/>
  <c r="R97" i="56"/>
  <c r="Q97" i="56"/>
  <c r="R96" i="56"/>
  <c r="Q96" i="56"/>
  <c r="R95" i="56"/>
  <c r="Q95" i="56"/>
  <c r="R94" i="56"/>
  <c r="Q94" i="56"/>
  <c r="R93" i="56"/>
  <c r="Q93" i="56"/>
  <c r="R92" i="56"/>
  <c r="Q92" i="56"/>
  <c r="R91" i="56"/>
  <c r="Q91" i="56"/>
  <c r="Q101" i="56" s="1"/>
  <c r="R88" i="56"/>
  <c r="Q88" i="56"/>
  <c r="R87" i="56"/>
  <c r="Q87" i="56"/>
  <c r="R86" i="56"/>
  <c r="Q86" i="56"/>
  <c r="R85" i="56"/>
  <c r="Q85" i="56"/>
  <c r="R84" i="56"/>
  <c r="Q84" i="56"/>
  <c r="R83" i="56"/>
  <c r="Q83" i="56"/>
  <c r="R82" i="56"/>
  <c r="Q82" i="56"/>
  <c r="R81" i="56"/>
  <c r="Q81" i="56"/>
  <c r="R80" i="56"/>
  <c r="Q80" i="56"/>
  <c r="R77" i="56"/>
  <c r="Q77" i="56"/>
  <c r="R76" i="56"/>
  <c r="Q76" i="56"/>
  <c r="R75" i="56"/>
  <c r="Q75" i="56"/>
  <c r="R74" i="56"/>
  <c r="Q74" i="56"/>
  <c r="R73" i="56"/>
  <c r="Q73" i="56"/>
  <c r="R72" i="56"/>
  <c r="Q72" i="56"/>
  <c r="R71" i="56"/>
  <c r="Q71" i="56"/>
  <c r="R70" i="56"/>
  <c r="Q70" i="56"/>
  <c r="R69" i="56"/>
  <c r="Q69" i="56"/>
  <c r="R68" i="56"/>
  <c r="Q68" i="56"/>
  <c r="R67" i="56"/>
  <c r="Q67" i="56"/>
  <c r="Q78" i="56" s="1"/>
  <c r="R64" i="56"/>
  <c r="Q64" i="56"/>
  <c r="R63" i="56"/>
  <c r="Q63" i="56"/>
  <c r="R62" i="56"/>
  <c r="Q62" i="56"/>
  <c r="R61" i="56"/>
  <c r="Q61" i="56"/>
  <c r="R60" i="56"/>
  <c r="Q60" i="56"/>
  <c r="R59" i="56"/>
  <c r="Q59" i="56"/>
  <c r="R58" i="56"/>
  <c r="Q58" i="56"/>
  <c r="R57" i="56"/>
  <c r="Q57" i="56"/>
  <c r="Q65" i="56" s="1"/>
  <c r="R54" i="56"/>
  <c r="Q54" i="56"/>
  <c r="R53" i="56"/>
  <c r="Q53" i="56"/>
  <c r="R52" i="56"/>
  <c r="Q52" i="56"/>
  <c r="R51" i="56"/>
  <c r="Q51" i="56"/>
  <c r="R50" i="56"/>
  <c r="Q50" i="56"/>
  <c r="R49" i="56"/>
  <c r="Q49" i="56"/>
  <c r="R48" i="56"/>
  <c r="Q48" i="56"/>
  <c r="R47" i="56"/>
  <c r="Q47" i="56"/>
  <c r="R46" i="56"/>
  <c r="Q46" i="56"/>
  <c r="R43" i="56"/>
  <c r="Q43" i="56"/>
  <c r="R42" i="56"/>
  <c r="Q42" i="56"/>
  <c r="R41" i="56"/>
  <c r="Q41" i="56"/>
  <c r="R40" i="56"/>
  <c r="Q40" i="56"/>
  <c r="R39" i="56"/>
  <c r="Q39" i="56"/>
  <c r="R38" i="56"/>
  <c r="Q38" i="56"/>
  <c r="R37" i="56"/>
  <c r="Q37" i="56"/>
  <c r="R36" i="56"/>
  <c r="Q36" i="56"/>
  <c r="R35" i="56"/>
  <c r="Q35" i="56"/>
  <c r="R34" i="56"/>
  <c r="Q34" i="56"/>
  <c r="R33" i="56"/>
  <c r="Q33" i="56"/>
  <c r="Q44" i="56" s="1"/>
  <c r="R30" i="56"/>
  <c r="Q30" i="56"/>
  <c r="R29" i="56"/>
  <c r="Q29" i="56"/>
  <c r="R28" i="56"/>
  <c r="Q28" i="56"/>
  <c r="R27" i="56"/>
  <c r="Q27" i="56"/>
  <c r="R26" i="56"/>
  <c r="Q26" i="56"/>
  <c r="R23" i="56"/>
  <c r="Q23" i="56"/>
  <c r="R22" i="56"/>
  <c r="Q22" i="56"/>
  <c r="R21" i="56"/>
  <c r="Q21" i="56"/>
  <c r="R20" i="56"/>
  <c r="Q20" i="56"/>
  <c r="R19" i="56"/>
  <c r="Q19" i="56"/>
  <c r="R18" i="56"/>
  <c r="Q18" i="56"/>
  <c r="R17" i="56"/>
  <c r="Q17" i="56"/>
  <c r="R16" i="56"/>
  <c r="Q16" i="56"/>
  <c r="R15" i="56"/>
  <c r="Q15" i="56"/>
  <c r="R14" i="56"/>
  <c r="Q14" i="56"/>
  <c r="R13" i="56"/>
  <c r="Q13" i="56"/>
  <c r="R12" i="56"/>
  <c r="Q12" i="56"/>
  <c r="R11" i="56"/>
  <c r="Q11" i="56"/>
  <c r="R10" i="56"/>
  <c r="Q10" i="56"/>
  <c r="R9" i="56"/>
  <c r="Q9" i="56"/>
  <c r="Q24" i="56" s="1"/>
  <c r="M112" i="56"/>
  <c r="O105" i="56"/>
  <c r="N105" i="56"/>
  <c r="O104" i="56"/>
  <c r="N104" i="56"/>
  <c r="O103" i="56"/>
  <c r="N103" i="56"/>
  <c r="O100" i="56"/>
  <c r="N100" i="56"/>
  <c r="O99" i="56"/>
  <c r="N99" i="56"/>
  <c r="O98" i="56"/>
  <c r="N98" i="56"/>
  <c r="O97" i="56"/>
  <c r="N97" i="56"/>
  <c r="O96" i="56"/>
  <c r="N96" i="56"/>
  <c r="O95" i="56"/>
  <c r="N95" i="56"/>
  <c r="O94" i="56"/>
  <c r="N94" i="56"/>
  <c r="O93" i="56"/>
  <c r="N93" i="56"/>
  <c r="O92" i="56"/>
  <c r="N92" i="56"/>
  <c r="O91" i="56"/>
  <c r="N91" i="56"/>
  <c r="O88" i="56"/>
  <c r="N88" i="56"/>
  <c r="O87" i="56"/>
  <c r="N87" i="56"/>
  <c r="O86" i="56"/>
  <c r="N86" i="56"/>
  <c r="O85" i="56"/>
  <c r="N85" i="56"/>
  <c r="O84" i="56"/>
  <c r="N84" i="56"/>
  <c r="O83" i="56"/>
  <c r="N83" i="56"/>
  <c r="O82" i="56"/>
  <c r="N82" i="56"/>
  <c r="O81" i="56"/>
  <c r="N81" i="56"/>
  <c r="O80" i="56"/>
  <c r="N80" i="56"/>
  <c r="N89" i="56" s="1"/>
  <c r="O77" i="56"/>
  <c r="N77" i="56"/>
  <c r="O76" i="56"/>
  <c r="N76" i="56"/>
  <c r="O75" i="56"/>
  <c r="N75" i="56"/>
  <c r="O74" i="56"/>
  <c r="N74" i="56"/>
  <c r="O73" i="56"/>
  <c r="N73" i="56"/>
  <c r="O72" i="56"/>
  <c r="N72" i="56"/>
  <c r="O71" i="56"/>
  <c r="N71" i="56"/>
  <c r="O70" i="56"/>
  <c r="N70" i="56"/>
  <c r="O69" i="56"/>
  <c r="N69" i="56"/>
  <c r="O68" i="56"/>
  <c r="N68" i="56"/>
  <c r="O67" i="56"/>
  <c r="N67" i="56"/>
  <c r="O64" i="56"/>
  <c r="N64" i="56"/>
  <c r="O63" i="56"/>
  <c r="N63" i="56"/>
  <c r="O62" i="56"/>
  <c r="N62" i="56"/>
  <c r="O61" i="56"/>
  <c r="N61" i="56"/>
  <c r="O60" i="56"/>
  <c r="N60" i="56"/>
  <c r="O59" i="56"/>
  <c r="N59" i="56"/>
  <c r="O58" i="56"/>
  <c r="N58" i="56"/>
  <c r="O57" i="56"/>
  <c r="N57" i="56"/>
  <c r="O54" i="56"/>
  <c r="N54" i="56"/>
  <c r="O53" i="56"/>
  <c r="N53" i="56"/>
  <c r="O52" i="56"/>
  <c r="N52" i="56"/>
  <c r="O51" i="56"/>
  <c r="N51" i="56"/>
  <c r="O50" i="56"/>
  <c r="N50" i="56"/>
  <c r="O49" i="56"/>
  <c r="N49" i="56"/>
  <c r="O48" i="56"/>
  <c r="N48" i="56"/>
  <c r="O47" i="56"/>
  <c r="N47" i="56"/>
  <c r="O46" i="56"/>
  <c r="N46" i="56"/>
  <c r="N55" i="56" s="1"/>
  <c r="O43" i="56"/>
  <c r="N43" i="56"/>
  <c r="O42" i="56"/>
  <c r="N42" i="56"/>
  <c r="O41" i="56"/>
  <c r="N41" i="56"/>
  <c r="O40" i="56"/>
  <c r="N40" i="56"/>
  <c r="O39" i="56"/>
  <c r="N39" i="56"/>
  <c r="O38" i="56"/>
  <c r="N38" i="56"/>
  <c r="O37" i="56"/>
  <c r="N37" i="56"/>
  <c r="O36" i="56"/>
  <c r="N36" i="56"/>
  <c r="O35" i="56"/>
  <c r="N35" i="56"/>
  <c r="O34" i="56"/>
  <c r="N34" i="56"/>
  <c r="O33" i="56"/>
  <c r="N33" i="56"/>
  <c r="O30" i="56"/>
  <c r="N30" i="56"/>
  <c r="O29" i="56"/>
  <c r="N29" i="56"/>
  <c r="O28" i="56"/>
  <c r="N28" i="56"/>
  <c r="O27" i="56"/>
  <c r="N27" i="56"/>
  <c r="O26" i="56"/>
  <c r="N26" i="56"/>
  <c r="N31" i="56" s="1"/>
  <c r="O23" i="56"/>
  <c r="N23" i="56"/>
  <c r="O22" i="56"/>
  <c r="N22" i="56"/>
  <c r="O21" i="56"/>
  <c r="N21" i="56"/>
  <c r="O20" i="56"/>
  <c r="N20" i="56"/>
  <c r="O19" i="56"/>
  <c r="N19" i="56"/>
  <c r="O18" i="56"/>
  <c r="N18" i="56"/>
  <c r="O17" i="56"/>
  <c r="N17" i="56"/>
  <c r="O16" i="56"/>
  <c r="N16" i="56"/>
  <c r="O15" i="56"/>
  <c r="N15" i="56"/>
  <c r="O14" i="56"/>
  <c r="N14" i="56"/>
  <c r="O13" i="56"/>
  <c r="N13" i="56"/>
  <c r="O12" i="56"/>
  <c r="N12" i="56"/>
  <c r="O11" i="56"/>
  <c r="N11" i="56"/>
  <c r="O10" i="56"/>
  <c r="N10" i="56"/>
  <c r="O9" i="56"/>
  <c r="N9" i="56"/>
  <c r="J112" i="56"/>
  <c r="L105" i="56"/>
  <c r="K105" i="56"/>
  <c r="L104" i="56"/>
  <c r="K104" i="56"/>
  <c r="L103" i="56"/>
  <c r="K103" i="56"/>
  <c r="L100" i="56"/>
  <c r="K100" i="56"/>
  <c r="L99" i="56"/>
  <c r="K99" i="56"/>
  <c r="L98" i="56"/>
  <c r="K98" i="56"/>
  <c r="L97" i="56"/>
  <c r="K97" i="56"/>
  <c r="L96" i="56"/>
  <c r="K96" i="56"/>
  <c r="L95" i="56"/>
  <c r="K95" i="56"/>
  <c r="L94" i="56"/>
  <c r="K94" i="56"/>
  <c r="L93" i="56"/>
  <c r="K93" i="56"/>
  <c r="L92" i="56"/>
  <c r="K92" i="56"/>
  <c r="L91" i="56"/>
  <c r="K91" i="56"/>
  <c r="L88" i="56"/>
  <c r="K88" i="56"/>
  <c r="L87" i="56"/>
  <c r="K87" i="56"/>
  <c r="L86" i="56"/>
  <c r="K86" i="56"/>
  <c r="L85" i="56"/>
  <c r="K85" i="56"/>
  <c r="L84" i="56"/>
  <c r="K84" i="56"/>
  <c r="L83" i="56"/>
  <c r="K83" i="56"/>
  <c r="L82" i="56"/>
  <c r="K82" i="56"/>
  <c r="L81" i="56"/>
  <c r="K81" i="56"/>
  <c r="L80" i="56"/>
  <c r="K80" i="56"/>
  <c r="K89" i="56" s="1"/>
  <c r="L77" i="56"/>
  <c r="K77" i="56"/>
  <c r="L76" i="56"/>
  <c r="K76" i="56"/>
  <c r="L75" i="56"/>
  <c r="K75" i="56"/>
  <c r="L74" i="56"/>
  <c r="K74" i="56"/>
  <c r="L73" i="56"/>
  <c r="K73" i="56"/>
  <c r="L72" i="56"/>
  <c r="K72" i="56"/>
  <c r="L71" i="56"/>
  <c r="K71" i="56"/>
  <c r="L70" i="56"/>
  <c r="K70" i="56"/>
  <c r="L69" i="56"/>
  <c r="K69" i="56"/>
  <c r="L68" i="56"/>
  <c r="K68" i="56"/>
  <c r="L67" i="56"/>
  <c r="K67" i="56"/>
  <c r="L64" i="56"/>
  <c r="K64" i="56"/>
  <c r="L63" i="56"/>
  <c r="K63" i="56"/>
  <c r="L62" i="56"/>
  <c r="K62" i="56"/>
  <c r="L61" i="56"/>
  <c r="K61" i="56"/>
  <c r="L60" i="56"/>
  <c r="K60" i="56"/>
  <c r="L59" i="56"/>
  <c r="K59" i="56"/>
  <c r="L58" i="56"/>
  <c r="K58" i="56"/>
  <c r="L57" i="56"/>
  <c r="K57" i="56"/>
  <c r="L54" i="56"/>
  <c r="K54" i="56"/>
  <c r="L53" i="56"/>
  <c r="K53" i="56"/>
  <c r="L52" i="56"/>
  <c r="K52" i="56"/>
  <c r="L51" i="56"/>
  <c r="K51" i="56"/>
  <c r="L50" i="56"/>
  <c r="K50" i="56"/>
  <c r="L49" i="56"/>
  <c r="K49" i="56"/>
  <c r="L48" i="56"/>
  <c r="K48" i="56"/>
  <c r="L47" i="56"/>
  <c r="K47" i="56"/>
  <c r="L46" i="56"/>
  <c r="K46" i="56"/>
  <c r="K55" i="56" s="1"/>
  <c r="L43" i="56"/>
  <c r="K43" i="56"/>
  <c r="L42" i="56"/>
  <c r="K42" i="56"/>
  <c r="L41" i="56"/>
  <c r="K41" i="56"/>
  <c r="L40" i="56"/>
  <c r="K40" i="56"/>
  <c r="L39" i="56"/>
  <c r="K39" i="56"/>
  <c r="L38" i="56"/>
  <c r="K38" i="56"/>
  <c r="L37" i="56"/>
  <c r="K37" i="56"/>
  <c r="L36" i="56"/>
  <c r="K36" i="56"/>
  <c r="L35" i="56"/>
  <c r="K35" i="56"/>
  <c r="L34" i="56"/>
  <c r="K34" i="56"/>
  <c r="L33" i="56"/>
  <c r="K33" i="56"/>
  <c r="L30" i="56"/>
  <c r="K30" i="56"/>
  <c r="L29" i="56"/>
  <c r="K29" i="56"/>
  <c r="L28" i="56"/>
  <c r="K28" i="56"/>
  <c r="L27" i="56"/>
  <c r="K27" i="56"/>
  <c r="L26" i="56"/>
  <c r="K26" i="56"/>
  <c r="K31" i="56" s="1"/>
  <c r="L23" i="56"/>
  <c r="K23" i="56"/>
  <c r="L22" i="56"/>
  <c r="K22" i="56"/>
  <c r="L21" i="56"/>
  <c r="K21" i="56"/>
  <c r="L20" i="56"/>
  <c r="K20" i="56"/>
  <c r="L19" i="56"/>
  <c r="K19" i="56"/>
  <c r="L18" i="56"/>
  <c r="K18" i="56"/>
  <c r="L17" i="56"/>
  <c r="K17" i="56"/>
  <c r="L16" i="56"/>
  <c r="K16" i="56"/>
  <c r="L15" i="56"/>
  <c r="K15" i="56"/>
  <c r="L14" i="56"/>
  <c r="K14" i="56"/>
  <c r="L13" i="56"/>
  <c r="K13" i="56"/>
  <c r="L12" i="56"/>
  <c r="K12" i="56"/>
  <c r="L11" i="56"/>
  <c r="K11" i="56"/>
  <c r="L10" i="56"/>
  <c r="K10" i="56"/>
  <c r="L9" i="56"/>
  <c r="K9" i="56"/>
  <c r="H11" i="56"/>
  <c r="H12" i="56"/>
  <c r="H13" i="56"/>
  <c r="H14" i="56"/>
  <c r="H15" i="56"/>
  <c r="H16" i="56"/>
  <c r="H17" i="56"/>
  <c r="H18" i="56"/>
  <c r="H19" i="56"/>
  <c r="H20" i="56"/>
  <c r="H21" i="56"/>
  <c r="H22" i="56"/>
  <c r="H23" i="56"/>
  <c r="H26" i="56"/>
  <c r="H27" i="56"/>
  <c r="H28" i="56"/>
  <c r="H29" i="56"/>
  <c r="H30" i="56"/>
  <c r="H33" i="56"/>
  <c r="H34" i="56"/>
  <c r="H35" i="56"/>
  <c r="H36" i="56"/>
  <c r="H37" i="56"/>
  <c r="H38" i="56"/>
  <c r="H39" i="56"/>
  <c r="H40" i="56"/>
  <c r="H41" i="56"/>
  <c r="H42" i="56"/>
  <c r="H43" i="56"/>
  <c r="H46" i="56"/>
  <c r="H47" i="56"/>
  <c r="H48" i="56"/>
  <c r="H49" i="56"/>
  <c r="H50" i="56"/>
  <c r="H51" i="56"/>
  <c r="H52" i="56"/>
  <c r="H53" i="56"/>
  <c r="H54" i="56"/>
  <c r="H57" i="56"/>
  <c r="H58" i="56"/>
  <c r="H59" i="56"/>
  <c r="H60" i="56"/>
  <c r="H61" i="56"/>
  <c r="H62" i="56"/>
  <c r="H63" i="56"/>
  <c r="H64" i="56"/>
  <c r="H67" i="56"/>
  <c r="H68" i="56"/>
  <c r="H69" i="56"/>
  <c r="H70" i="56"/>
  <c r="H71" i="56"/>
  <c r="H72" i="56"/>
  <c r="H73" i="56"/>
  <c r="H74" i="56"/>
  <c r="H75" i="56"/>
  <c r="H76" i="56"/>
  <c r="H77" i="56"/>
  <c r="H80" i="56"/>
  <c r="H81" i="56"/>
  <c r="H82" i="56"/>
  <c r="H83" i="56"/>
  <c r="H84" i="56"/>
  <c r="H85" i="56"/>
  <c r="H86" i="56"/>
  <c r="H87" i="56"/>
  <c r="H88" i="56"/>
  <c r="H91" i="56"/>
  <c r="H92" i="56"/>
  <c r="H93" i="56"/>
  <c r="H94" i="56"/>
  <c r="H95" i="56"/>
  <c r="H96" i="56"/>
  <c r="H97" i="56"/>
  <c r="H98" i="56"/>
  <c r="H99" i="56"/>
  <c r="H100" i="56"/>
  <c r="H103" i="56"/>
  <c r="H104" i="56"/>
  <c r="H105" i="56"/>
  <c r="I9" i="56"/>
  <c r="H9" i="56"/>
  <c r="F105" i="56"/>
  <c r="F104" i="56"/>
  <c r="F103" i="56"/>
  <c r="F100" i="56"/>
  <c r="F99" i="56"/>
  <c r="F98" i="56"/>
  <c r="F97" i="56"/>
  <c r="F96" i="56"/>
  <c r="F95" i="56"/>
  <c r="F94" i="56"/>
  <c r="F93" i="56"/>
  <c r="F92" i="56"/>
  <c r="F91" i="56"/>
  <c r="I105" i="56"/>
  <c r="I104" i="56"/>
  <c r="I103" i="56"/>
  <c r="I100" i="56"/>
  <c r="I99" i="56"/>
  <c r="I98" i="56"/>
  <c r="I97" i="56"/>
  <c r="I96" i="56"/>
  <c r="I95" i="56"/>
  <c r="I94" i="56"/>
  <c r="I93" i="56"/>
  <c r="I92" i="56"/>
  <c r="I91" i="56"/>
  <c r="I88" i="56"/>
  <c r="F88" i="56"/>
  <c r="F11" i="56"/>
  <c r="F12" i="56"/>
  <c r="F13" i="56"/>
  <c r="F14" i="56"/>
  <c r="F15" i="56"/>
  <c r="F16" i="56"/>
  <c r="F17" i="56"/>
  <c r="F18" i="56"/>
  <c r="F19" i="56"/>
  <c r="F20" i="56"/>
  <c r="F21" i="56"/>
  <c r="F22" i="56"/>
  <c r="F23" i="56"/>
  <c r="F9" i="56"/>
  <c r="F100" i="62"/>
  <c r="F99" i="62"/>
  <c r="F98" i="62"/>
  <c r="F101" i="62" s="1"/>
  <c r="F95" i="62"/>
  <c r="F94" i="62"/>
  <c r="F93" i="62"/>
  <c r="F92" i="62"/>
  <c r="F91" i="62"/>
  <c r="F90" i="62"/>
  <c r="F89" i="62"/>
  <c r="F88" i="62"/>
  <c r="F87" i="62"/>
  <c r="F96" i="62" s="1"/>
  <c r="F86" i="62"/>
  <c r="F83" i="62"/>
  <c r="F82" i="62"/>
  <c r="F81" i="62"/>
  <c r="F80" i="62"/>
  <c r="F79" i="62"/>
  <c r="F78" i="62"/>
  <c r="F77" i="62"/>
  <c r="F84" i="62" s="1"/>
  <c r="F76" i="62"/>
  <c r="F75" i="62"/>
  <c r="F72" i="62"/>
  <c r="F71" i="62"/>
  <c r="F70" i="62"/>
  <c r="F69" i="62"/>
  <c r="F68" i="62"/>
  <c r="F67" i="62"/>
  <c r="F66" i="62"/>
  <c r="F65" i="62"/>
  <c r="F64" i="62"/>
  <c r="F63" i="62"/>
  <c r="F62" i="62"/>
  <c r="F59" i="62"/>
  <c r="F58" i="62"/>
  <c r="F57" i="62"/>
  <c r="F56" i="62"/>
  <c r="F55" i="62"/>
  <c r="F54" i="62"/>
  <c r="F53" i="62"/>
  <c r="F60" i="62" s="1"/>
  <c r="F52" i="62"/>
  <c r="F49" i="62"/>
  <c r="F48" i="62"/>
  <c r="F47" i="62"/>
  <c r="F46" i="62"/>
  <c r="F45" i="62"/>
  <c r="F44" i="62"/>
  <c r="F43" i="62"/>
  <c r="F50" i="62" s="1"/>
  <c r="F42" i="62"/>
  <c r="F41" i="62"/>
  <c r="F38" i="62"/>
  <c r="F37" i="62"/>
  <c r="F36" i="62"/>
  <c r="F35" i="62"/>
  <c r="F34" i="62"/>
  <c r="F33" i="62"/>
  <c r="F32" i="62"/>
  <c r="F31" i="62"/>
  <c r="F30" i="62"/>
  <c r="F29" i="62"/>
  <c r="F39" i="62" s="1"/>
  <c r="F28" i="62"/>
  <c r="F25" i="62"/>
  <c r="F24" i="62"/>
  <c r="F23" i="62"/>
  <c r="F26" i="62" s="1"/>
  <c r="F22" i="62"/>
  <c r="F21" i="62"/>
  <c r="F5" i="62"/>
  <c r="F6" i="62"/>
  <c r="F7" i="62"/>
  <c r="F8" i="62"/>
  <c r="F9" i="62"/>
  <c r="F10" i="62"/>
  <c r="F11" i="62"/>
  <c r="F12" i="62"/>
  <c r="F13" i="62"/>
  <c r="F14" i="62"/>
  <c r="F15" i="62"/>
  <c r="F16" i="62"/>
  <c r="F17" i="62"/>
  <c r="F18" i="62"/>
  <c r="F4" i="62"/>
  <c r="F73" i="62"/>
  <c r="S49" i="33"/>
  <c r="O49" i="33"/>
  <c r="S37" i="33"/>
  <c r="S25" i="33"/>
  <c r="S11" i="33" s="1"/>
  <c r="F19" i="62" l="1"/>
  <c r="F103" i="62" s="1"/>
  <c r="F101" i="56"/>
  <c r="N24" i="56"/>
  <c r="N44" i="56"/>
  <c r="N65" i="56"/>
  <c r="N78" i="56"/>
  <c r="N101" i="56"/>
  <c r="N106" i="56"/>
  <c r="F106" i="56"/>
  <c r="K24" i="56"/>
  <c r="K44" i="56"/>
  <c r="K65" i="56"/>
  <c r="K78" i="56"/>
  <c r="K101" i="56"/>
  <c r="K106" i="56"/>
  <c r="Q31" i="56"/>
  <c r="Q108" i="56" s="1"/>
  <c r="Q55" i="56"/>
  <c r="Q89" i="56"/>
  <c r="H106" i="56"/>
  <c r="N108" i="56"/>
  <c r="H89" i="56"/>
  <c r="H65" i="56"/>
  <c r="H55" i="56"/>
  <c r="H44" i="56"/>
  <c r="H31" i="56"/>
  <c r="H101" i="56"/>
  <c r="H78" i="56"/>
  <c r="S10" i="33"/>
  <c r="S6" i="33" s="1"/>
  <c r="P49" i="33"/>
  <c r="O37" i="33"/>
  <c r="O17" i="33"/>
  <c r="O25" i="33" s="1"/>
  <c r="O11" i="33"/>
  <c r="K11" i="33"/>
  <c r="K49" i="33"/>
  <c r="L49" i="33" s="1"/>
  <c r="K37" i="33"/>
  <c r="K25" i="33"/>
  <c r="L16" i="58"/>
  <c r="J16" i="58"/>
  <c r="H16" i="58"/>
  <c r="F16" i="58"/>
  <c r="D16" i="58"/>
  <c r="G49" i="33"/>
  <c r="G11" i="33" s="1"/>
  <c r="T49" i="33"/>
  <c r="G37" i="33"/>
  <c r="G25" i="33"/>
  <c r="Q109" i="56" l="1"/>
  <c r="Q110" i="56"/>
  <c r="Q113" i="56"/>
  <c r="Q111" i="56"/>
  <c r="F106" i="62"/>
  <c r="F107" i="62" s="1"/>
  <c r="F104" i="62"/>
  <c r="F105" i="62"/>
  <c r="K108" i="56"/>
  <c r="Q112" i="56"/>
  <c r="Q116" i="56" s="1"/>
  <c r="J23" i="57" s="1"/>
  <c r="N113" i="56"/>
  <c r="N111" i="56"/>
  <c r="N109" i="56"/>
  <c r="N110" i="56"/>
  <c r="O10" i="33"/>
  <c r="P25" i="33"/>
  <c r="K10" i="33"/>
  <c r="K6" i="33" s="1"/>
  <c r="F15" i="57" s="1"/>
  <c r="H49" i="33"/>
  <c r="G10" i="33"/>
  <c r="G6" i="33" s="1"/>
  <c r="T37" i="33"/>
  <c r="T25" i="33"/>
  <c r="K110" i="56" l="1"/>
  <c r="K113" i="56"/>
  <c r="K111" i="56"/>
  <c r="K109" i="56"/>
  <c r="K112" i="56" s="1"/>
  <c r="K116" i="56" s="1"/>
  <c r="Q119" i="56"/>
  <c r="Q120" i="56" s="1"/>
  <c r="R120" i="56" s="1"/>
  <c r="N112" i="56"/>
  <c r="N116" i="56" s="1"/>
  <c r="H23" i="57" s="1"/>
  <c r="B44" i="57"/>
  <c r="F23" i="57" l="1"/>
  <c r="K119" i="56"/>
  <c r="K120" i="56" s="1"/>
  <c r="L120" i="56" s="1"/>
  <c r="N119" i="56"/>
  <c r="N120" i="56" s="1"/>
  <c r="O120" i="56" s="1"/>
  <c r="S13" i="33"/>
  <c r="J15" i="57"/>
  <c r="I15" i="57" s="1"/>
  <c r="I13" i="57" s="1"/>
  <c r="I12" i="56" l="1"/>
  <c r="I13" i="56"/>
  <c r="I14" i="56"/>
  <c r="I15" i="56"/>
  <c r="I16" i="56"/>
  <c r="I17" i="56"/>
  <c r="I18" i="56"/>
  <c r="I19" i="56"/>
  <c r="I20" i="56"/>
  <c r="I21" i="56"/>
  <c r="I22" i="56"/>
  <c r="I23" i="56"/>
  <c r="I26" i="56"/>
  <c r="I27" i="56"/>
  <c r="I28" i="56"/>
  <c r="I29" i="56"/>
  <c r="I30" i="56"/>
  <c r="I33" i="56"/>
  <c r="I34" i="56"/>
  <c r="I35" i="56"/>
  <c r="I36" i="56"/>
  <c r="I37" i="56"/>
  <c r="I38" i="56"/>
  <c r="I39" i="56"/>
  <c r="I40" i="56"/>
  <c r="I41" i="56"/>
  <c r="I42" i="56"/>
  <c r="I43" i="56"/>
  <c r="I46" i="56"/>
  <c r="I47" i="56"/>
  <c r="I48" i="56"/>
  <c r="I49" i="56"/>
  <c r="I50" i="56"/>
  <c r="I51" i="56"/>
  <c r="I52" i="56"/>
  <c r="I53" i="56"/>
  <c r="I54" i="56"/>
  <c r="I57" i="56"/>
  <c r="I58" i="56"/>
  <c r="I59" i="56"/>
  <c r="I60" i="56"/>
  <c r="I61" i="56"/>
  <c r="I62" i="56"/>
  <c r="I63" i="56"/>
  <c r="I64" i="56"/>
  <c r="I67" i="56"/>
  <c r="I68" i="56"/>
  <c r="I69" i="56"/>
  <c r="I70" i="56"/>
  <c r="I71" i="56"/>
  <c r="I72" i="56"/>
  <c r="I73" i="56"/>
  <c r="I74" i="56"/>
  <c r="I75" i="56"/>
  <c r="I76" i="56"/>
  <c r="I77" i="56"/>
  <c r="I80" i="56"/>
  <c r="I81" i="56"/>
  <c r="I82" i="56"/>
  <c r="I83" i="56"/>
  <c r="I84" i="56"/>
  <c r="I85" i="56"/>
  <c r="I86" i="56"/>
  <c r="I87" i="56"/>
  <c r="F26" i="56"/>
  <c r="F27" i="56"/>
  <c r="F28" i="56"/>
  <c r="F29" i="56"/>
  <c r="F30" i="56"/>
  <c r="F33" i="56"/>
  <c r="F34" i="56"/>
  <c r="F35" i="56"/>
  <c r="F36" i="56"/>
  <c r="F37" i="56"/>
  <c r="F38" i="56"/>
  <c r="F39" i="56"/>
  <c r="F40" i="56"/>
  <c r="F41" i="56"/>
  <c r="F42" i="56"/>
  <c r="F43" i="56"/>
  <c r="F46" i="56"/>
  <c r="F47" i="56"/>
  <c r="F48" i="56"/>
  <c r="F49" i="56"/>
  <c r="F50" i="56"/>
  <c r="F51" i="56"/>
  <c r="F52" i="56"/>
  <c r="F53" i="56"/>
  <c r="F54" i="56"/>
  <c r="F57" i="56"/>
  <c r="F58" i="56"/>
  <c r="F59" i="56"/>
  <c r="F60" i="56"/>
  <c r="F61" i="56"/>
  <c r="F62" i="56"/>
  <c r="F63" i="56"/>
  <c r="F64" i="56"/>
  <c r="F67" i="56"/>
  <c r="F68" i="56"/>
  <c r="F69" i="56"/>
  <c r="F70" i="56"/>
  <c r="F71" i="56"/>
  <c r="F72" i="56"/>
  <c r="F73" i="56"/>
  <c r="F74" i="56"/>
  <c r="F75" i="56"/>
  <c r="F76" i="56"/>
  <c r="F77" i="56"/>
  <c r="F80" i="56"/>
  <c r="F81" i="56"/>
  <c r="F82" i="56"/>
  <c r="F83" i="56"/>
  <c r="F84" i="56"/>
  <c r="F85" i="56"/>
  <c r="F86" i="56"/>
  <c r="F87" i="56"/>
  <c r="G112" i="56"/>
  <c r="C112" i="56"/>
  <c r="I11" i="56"/>
  <c r="I10" i="56"/>
  <c r="H10" i="56"/>
  <c r="H24" i="56" s="1"/>
  <c r="H108" i="56" s="1"/>
  <c r="F10" i="56"/>
  <c r="F24" i="56" s="1"/>
  <c r="O112" i="56" l="1"/>
  <c r="R112" i="56"/>
  <c r="L112" i="56"/>
  <c r="F78" i="56"/>
  <c r="F65" i="56"/>
  <c r="F44" i="56"/>
  <c r="H111" i="56"/>
  <c r="H109" i="56"/>
  <c r="H113" i="56"/>
  <c r="H110" i="56"/>
  <c r="I112" i="56"/>
  <c r="F89" i="56"/>
  <c r="F55" i="56"/>
  <c r="F31" i="56"/>
  <c r="F108" i="56" s="1"/>
  <c r="F113" i="56" l="1"/>
  <c r="F111" i="56"/>
  <c r="H112" i="56"/>
  <c r="H116" i="56" s="1"/>
  <c r="D23" i="57" s="1"/>
  <c r="F110" i="56"/>
  <c r="F109" i="56"/>
  <c r="H119" i="56" l="1"/>
  <c r="H120" i="56" s="1"/>
  <c r="I120" i="56" s="1"/>
  <c r="F112" i="56"/>
  <c r="F114" i="56" s="1"/>
  <c r="D27" i="57"/>
  <c r="B38" i="57" l="1"/>
  <c r="B36" i="57"/>
  <c r="B40" i="57"/>
  <c r="B41" i="57" s="1"/>
  <c r="R116" i="56"/>
  <c r="Q117" i="56"/>
  <c r="R117" i="56" s="1"/>
  <c r="O116" i="56"/>
  <c r="N117" i="56"/>
  <c r="O117" i="56" s="1"/>
  <c r="H117" i="56"/>
  <c r="I117" i="56" s="1"/>
  <c r="K117" i="56"/>
  <c r="L117" i="56" s="1"/>
  <c r="L116" i="56"/>
  <c r="I116" i="56"/>
  <c r="B37" i="57" l="1"/>
  <c r="J122" i="56"/>
  <c r="P122" i="56"/>
  <c r="M122" i="56"/>
  <c r="G122" i="56"/>
  <c r="F28" i="57" l="1"/>
  <c r="F30" i="57" s="1"/>
  <c r="J28" i="57"/>
  <c r="J30" i="57" s="1"/>
  <c r="D28" i="57"/>
  <c r="D30" i="57" s="1"/>
  <c r="D10" i="33"/>
  <c r="O6" i="33" l="1"/>
  <c r="H15" i="57" l="1"/>
  <c r="G15" i="57" s="1"/>
  <c r="G13" i="57" s="1"/>
  <c r="P37" i="33"/>
  <c r="O13" i="33" l="1"/>
  <c r="L28" i="32" l="1"/>
  <c r="I26" i="32"/>
  <c r="D15" i="57" l="1"/>
  <c r="E15" i="57"/>
  <c r="E13" i="57" s="1"/>
  <c r="H37" i="33"/>
  <c r="L25" i="33"/>
  <c r="H25" i="33"/>
  <c r="L37" i="33"/>
  <c r="C15" i="57" l="1"/>
  <c r="C13" i="57" s="1"/>
  <c r="K13" i="33"/>
  <c r="G13" i="33"/>
</calcChain>
</file>

<file path=xl/sharedStrings.xml><?xml version="1.0" encoding="utf-8"?>
<sst xmlns="http://schemas.openxmlformats.org/spreadsheetml/2006/main" count="1149" uniqueCount="402">
  <si>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</si>
  <si>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</si>
  <si>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</si>
  <si>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</si>
  <si>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</si>
  <si>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</si>
  <si>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</si>
  <si>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</si>
  <si>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</si>
  <si>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</si>
  <si>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</si>
  <si>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</si>
  <si>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</si>
  <si>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</si>
  <si>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</si>
  <si>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</si>
  <si>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</si>
  <si>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</si>
  <si>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</si>
  <si>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</si>
  <si>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</si>
  <si>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</si>
  <si>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</si>
  <si>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</si>
  <si>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</si>
  <si>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</si>
  <si>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</si>
  <si>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</si>
  <si>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</si>
  <si>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</si>
  <si>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</si>
  <si>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</si>
  <si>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</si>
  <si>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</si>
  <si>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</si>
  <si>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</si>
  <si>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</si>
  <si>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</si>
  <si>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</si>
  <si>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</si>
  <si>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</si>
  <si>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</si>
  <si>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</si>
  <si>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</si>
  <si>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</si>
  <si>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</si>
  <si>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</si>
  <si>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</si>
  <si>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</si>
  <si>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</si>
  <si>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</si>
  <si>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</si>
  <si>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</si>
  <si>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</si>
  <si>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</si>
  <si>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</si>
  <si>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</si>
  <si>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</si>
  <si>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</si>
  <si>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</si>
  <si>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</si>
  <si>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</si>
  <si>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</si>
  <si>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</si>
  <si>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</si>
  <si>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</si>
  <si>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</si>
  <si>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</si>
  <si>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</si>
  <si>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</si>
  <si>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</si>
  <si>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</si>
  <si>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</si>
  <si>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</si>
  <si>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</si>
  <si>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</si>
  <si>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</si>
  <si>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</si>
  <si>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</si>
  <si>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</si>
  <si>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</si>
  <si>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</si>
  <si>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</si>
  <si>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</si>
  <si>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</si>
  <si>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</si>
  <si>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</si>
  <si>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</si>
  <si>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</si>
  <si>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</si>
  <si>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</si>
  <si>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</si>
  <si>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</si>
  <si>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</si>
  <si>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</si>
  <si>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</si>
  <si>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</si>
  <si>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</si>
  <si>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</si>
  <si>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</si>
  <si>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</si>
  <si>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</si>
  <si>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</si>
  <si>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</si>
  <si>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</si>
  <si>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</si>
  <si>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</si>
  <si>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</si>
  <si>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</si>
  <si>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</si>
  <si>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</si>
  <si>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</si>
  <si>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</si>
  <si>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</si>
  <si>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</si>
  <si>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</si>
  <si>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</si>
  <si>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</si>
  <si>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</si>
  <si>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</si>
  <si>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</si>
  <si>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</si>
  <si>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</si>
  <si>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</si>
  <si>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</si>
  <si>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</si>
  <si>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</si>
  <si>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</si>
  <si>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</si>
  <si>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</si>
  <si>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</si>
  <si>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</si>
  <si>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</si>
  <si>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</si>
  <si>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</si>
  <si>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</si>
  <si>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</si>
  <si>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</si>
  <si>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</si>
  <si>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</si>
  <si>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</si>
  <si>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</si>
  <si>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</si>
  <si>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</si>
  <si>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ÍNDICE DE LIQUIDEZ &gt;= 1,2</t>
  </si>
  <si>
    <t xml:space="preserve">INFORME DE EVALUACIÓN DE OFERTAS </t>
  </si>
  <si>
    <t xml:space="preserve">VERIFICACIÓN REQUISITOS JURIDICOS HABILITANTES - PROPONENTES </t>
  </si>
  <si>
    <t>OBSERVACION</t>
  </si>
  <si>
    <t>REQUISITOS DE CAPACIDAD JURIDICA</t>
  </si>
  <si>
    <t>CARTA DE PRESENTACIÓN</t>
  </si>
  <si>
    <t>GARANTÍA DE SERIEDAD DE LA PROPUESTA</t>
  </si>
  <si>
    <t>YONNE GALVIS AGREDO</t>
  </si>
  <si>
    <t>NO</t>
  </si>
  <si>
    <t>ML</t>
  </si>
  <si>
    <t>TOTAL PRESUPUESTO OFICIAL</t>
  </si>
  <si>
    <t>OBJETO: CONSTRUCCIÓN DE OBRA CIVIL DESTINADA PARA LA ADECUACIÓN DEL AUDITORIO GREGORIO CAICEDO Y CUBIERTA PARA LA TERRAZA DE LA FACULTAD DE INGENIERIA CIVIL DE LA UNIVERSIDAD DEL CAUCA.</t>
  </si>
  <si>
    <t>LICITACION No. 032-2017</t>
  </si>
  <si>
    <t>2.1 - g)</t>
  </si>
  <si>
    <t>PERSONAL MÍNIMO REQUERIDO</t>
  </si>
  <si>
    <t>2.4.</t>
  </si>
  <si>
    <t>PROPUESTA ECONOMICA</t>
  </si>
  <si>
    <t>Corrección Aritmetica</t>
  </si>
  <si>
    <t>NO HABIL</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</si>
  <si>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</si>
  <si>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</si>
  <si>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</si>
  <si>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</si>
  <si>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</si>
  <si>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</si>
  <si>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</si>
  <si>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</si>
  <si>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</si>
  <si>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</si>
  <si>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</si>
  <si>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</si>
  <si>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</si>
  <si>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</si>
  <si>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</si>
  <si>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</si>
  <si>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En el caso de estructura plural, el integrante que aporte el 40% de la experiencia específica o más relacionada con el criterio del VTE, deberá tener una participación mínima en la estructura plural del 40%.</t>
  </si>
  <si>
    <t>NIVEL DE ENDEUDAMIENTO &lt;= 60%</t>
  </si>
  <si>
    <t>RAZÓN DE COBERTURA DE INTERESES &gt;= 1 ó INDEFINIDO</t>
  </si>
  <si>
    <t>RENTABILIDAD SOBRE PATRIMONIO &gt; 0.03</t>
  </si>
  <si>
    <t>RENTABILIDAD SOBRE ACTIVOS &gt; 0.01</t>
  </si>
  <si>
    <t xml:space="preserve">LADY CRISTINA PAZ MBURBANO </t>
  </si>
  <si>
    <t>Jefe, Oficina Asesora</t>
  </si>
  <si>
    <t>ABOGADA</t>
  </si>
  <si>
    <t xml:space="preserve">Universidad del Cauca </t>
  </si>
  <si>
    <t>LICITACIÓN PÚBLICA N° 01-2018</t>
  </si>
  <si>
    <t>OBJETO: ENLUCIMIENTO DE FACHADAS EXTERNAS DE LOS EDIFICIOS DE LA UNIVERSIDAD DEL CAUCA, UBICADOS EN EL SECTOR HISTÓRICO DE LA CIUDAD DE POPAYÁN</t>
  </si>
  <si>
    <t xml:space="preserve">CONSORCIO CQ </t>
  </si>
  <si>
    <t xml:space="preserve">MAURICIO CASTILLO ESCOBEDO </t>
  </si>
  <si>
    <t>ANDRES LIBARDO FERNANDEZ ORDOÑEZ</t>
  </si>
  <si>
    <t xml:space="preserve">CONSORCIO BM </t>
  </si>
  <si>
    <t xml:space="preserve">EXISTENCIA Y CAPACIDAD LEGAL </t>
  </si>
  <si>
    <t xml:space="preserve">SI </t>
  </si>
  <si>
    <t xml:space="preserve">REGISTRO UNICO DE PROPONENTES </t>
  </si>
  <si>
    <t>CARTA DE ACEPTACIÓN DEL PRESUPUESTO OFICIAL</t>
  </si>
  <si>
    <t xml:space="preserve">RUT
</t>
  </si>
  <si>
    <t>PAGO DE APORTES A SEGURIDAD SOCIAL Y PARAFISCALES</t>
  </si>
  <si>
    <t xml:space="preserve">COMPROMISO DE TRANSPARENCIA: </t>
  </si>
  <si>
    <t xml:space="preserve">PAZ Y SALVO EXPEDIDO POR LA DIVISIÓN DE GESTIÓN FINANCIERA DE LA
UNIVERSIDAD DEL CAUCA
</t>
  </si>
  <si>
    <t xml:space="preserve">CERTIFICADO DE ANTECEDENTES FISCALES </t>
  </si>
  <si>
    <t>CERTIFICADO DE ANTECEDENTES DISCIPLINARIOS</t>
  </si>
  <si>
    <t xml:space="preserve">CERTIFICADO DE ANTECEDENTES JUDICIALES </t>
  </si>
  <si>
    <t>HÁBIL</t>
  </si>
  <si>
    <t>LICITACIÓN PÚBLICA N° 001-2018</t>
  </si>
  <si>
    <t>OBJETO: ENLUCIMIENTO DE FACHADAS EXTERNAS DE LOS EDIFICIOS DE LA UNIVERSIDAD DEL CAUCA, UBICADOS EN EL SECTOR HISTORICO DE LA CIUDAD DE POPAYAN</t>
  </si>
  <si>
    <t>CONSORCIO CQ</t>
  </si>
  <si>
    <t>MAURICIO CASTILLO ESCOBEDO</t>
  </si>
  <si>
    <t>CONSORCIO BM</t>
  </si>
  <si>
    <t>CAPITAL DE TRABAJO &gt;= 100%PO
PO =  $144.091.054,oo</t>
  </si>
  <si>
    <t>MÁXIMO tres (03) contratos de obra civil de construcción y/o adecuación y/o ampliación y/o mantenimiento y/o mejoramiento de edificaciones públicas no residenciales. La ejecución de los contratos se acreditará mediante la presentación de las correspondientes actas de liquidación y/o actas de recibo final y/o certificaciones suscritas por el representante legal o quien tenga por decreto o documento similar la asignación de sus funciones en la entidad territorial. Los contratos deberán haber sido suscritos por el oferente con entidades públicas, ya sea individualmente o en consorcio o unión temporal, ejecutados y liquidados antes de la fecha de cierre del respectivo proceso. La sumatoria del valor actualizado de los contratos aportados debe ser por una cuantía igual o superior al presupuesto oficial de la presente convocatoria, relacionada con el criterio VALOR TOTAL EJECUTADO (VTE).
Cada contrato que el proponente aporte como experiencia específica debe estar registrado en el RUP y debe encontrarse inscrito en al menos uno (1) de los códigos UNSPSC exigidos en el numeral 2.1 literal (d) del presente pliego de condiciones. El RUP deberá estar vigente y en firme, de lo contrario el proponente quedará INHABILITADO. 721015 - 721513 - 951219</t>
  </si>
  <si>
    <t>En las actas de liquidación y/o actas de recibo final y/o certificaciones de los contratos aportados para acreditar la experiencia especifica debe constar la ejecución de la actividad pintura como mínimo en dos mil (2.000) metros cuadrados (M2) sumados todos ellos, no se tendrán en cuenta cantidades de pintura ejecutadas en otras unidades de medida. (resaltar en el documento la actividad a fin de facilitar la evaluación)</t>
  </si>
  <si>
    <t>VALOR TOTAL EJECUTADO 
PO = $144.091.054,oo</t>
  </si>
  <si>
    <t>UNSPSC
721015 - 721513 - 951219</t>
  </si>
  <si>
    <t>CONTRATO 3</t>
  </si>
  <si>
    <t>UNSPSC
951219</t>
  </si>
  <si>
    <t>UNSPSC
721513 - 951219</t>
  </si>
  <si>
    <r>
      <t xml:space="preserve">EL CONTRATO No.1
INSCRITO EN LOS CODIGOS UNSPSC 721015 - 721513 - 951219
APORTA ACTA DE LIQUIDACION
EL CONTRATO No.2
INSCRITO EN LOS CODIGOS UNSPSC 951219
APORTA ACTA DE LIQUIDACION
EL CONTRATO No.3
INSCRITO EN LOS CODIGOS UNSPSC 721513 - 951219
APORTA ACTA DE LIQUIDACION
</t>
    </r>
    <r>
      <rPr>
        <b/>
        <sz val="11"/>
        <color rgb="FFFF0000"/>
        <rFont val="Arial Narrow"/>
        <family val="2"/>
      </rPr>
      <t/>
    </r>
  </si>
  <si>
    <t>• Director de obra: Un (1) ingeniero civil o arquitecto, con al menos diez (10) años de experiencia general, contados a partir de la expedición de la matricula profesional, quien será el coordinador y responsable de cada una de las actividades y productos descritos en el presupuesto oficial.</t>
  </si>
  <si>
    <t>• Residente de Obra. Un (1) ingeniero civil o arquitecto con al menos cinco (5) años de experiencia general, contados a partir de la expedición de la matricula profesional con 100% de disponibilidad de tiempo, y experiencia específica certificada como residente de obra o contratista de obra de al menos un (01) contrato de obra civil de construcción y/o adecuación y/o ampliación y/o mantenimiento y/o mejoramiento de edificaciones no residenciales celebrados con entidades públicas. Adicionalmente deberá presentar certificado de trabajo seguro en alturas nivel avanzado vigente, es decir con fecha de expedición que no supere un (1) año a la fecha de cierre de la presente convocatoria.</t>
  </si>
  <si>
    <t>• Maestro de obra. Un (1) maestro o técnico en construcción con al menos cinco (5) años de experiencia general, contados a partir de la expedición de la matricula profesional con 100% de disponibilidad de tiempo, y certificado de trabajo seguro en alturas nivel avanzado vigente, es decir con fecha de expedición que no supere un (1) año a la fecha de cierre de la presente convocatoria.</t>
  </si>
  <si>
    <t>• Profesional en salud ocupacional. Un (1) profesional en salud ocupacional o profesional con especialización en salud ocupacional con al menos un (1) año de experiencia general, contado a partir de expedición de la resolución que le concede licencia para prestar servicios en salud ocupacional. La licencia deberá estar vigente a la fecha de cierre de la presente convocatoria.</t>
  </si>
  <si>
    <t>ING. CIVIL
FECHA EXP. M.P. 1991
CARTA DE COMPROMISO</t>
  </si>
  <si>
    <t>ING. CIVIL
FECHA EXP. M.P. 2002
CARTA DE COMPROMISO
DISPONIBILIDAD 100%
ACTA DE LIQUIDACION COMO CONTRATISTA
CERTIFICACION TRABAJO EN ALTURAS EXP. 27/06/2017</t>
  </si>
  <si>
    <t>MAESTRO
FECHA EXP. 2010
CARTA DE COMPROMISO
DISPONIBILIDAD 100%
CERTIFICACION TRABAJO EN ALTURAS EXP. 23/10/2017</t>
  </si>
  <si>
    <t>PUNTAJE POR PERSONAL ADICIONAL OFRECIDO PARA LA OBRA</t>
  </si>
  <si>
    <t>UN (1) MAESTRO DE OBRA CON CERTIFICADO DE TRABAJO SEGURO EN ALTURAS VIGENTE Y DISPONIBILIDAD DEL 100%</t>
  </si>
  <si>
    <t>DOS (2) MAESTROS DE OBRA CON CERTIFICADO DE TRABAJO SEGURO EN ALTURAS VIGENTE Y DISPONIBILIDAD DEL 100%</t>
  </si>
  <si>
    <t>PROFESIONAL EN SALUD OCUPACIONAL
FECHA EXP. 26/04/2016
CARTA DE COMPROMISO</t>
  </si>
  <si>
    <t>UNSPSC
721015</t>
  </si>
  <si>
    <t>UNSPSC
721015 - 721513</t>
  </si>
  <si>
    <t>ING. CIVIL
FECHA EXP. M.P. 1991
CARTA DE COMPROMISO
DISPONIBILIDAD 100%</t>
  </si>
  <si>
    <t>ING. CIVIL
FECHA EXP. M.P. 1992
CARTA DE COMPROMISO
DISPONIBILIDAD 100%
ACTA DE RECIBO FINAL COMO CONTRATISTA
CERTIFICACION TRABAJO EN ALTURAS EXP. 24/07/2017</t>
  </si>
  <si>
    <t>MAESTRO
FECHA EXP. 2002
CARTA DE COMPROMISO
DISPONIBILIDAD 100%
CERTIFICACION TRABAJO EN ALTURAS EXP. 24/07/2017</t>
  </si>
  <si>
    <t>MAGISTER EN SALUD OCUPACIONAL
FECHA EXP. 17/09/2012
CARTA DE COMPROMISO
DISPONIBILIDAD 100%</t>
  </si>
  <si>
    <t>NO OK</t>
  </si>
  <si>
    <r>
      <t xml:space="preserve">EL CONTRATO No.1
NO APORTA ANEXO G. EXPERIENCIA ESPECIFICA DEL PROPONENTE
ACTA DE RECIBO FINAL Y ACTA DE LIQUIDACION Y CERTIFICACION
EL CONTRATO No.2
INSCRITO EN LOS CODIGOS UNSPSC 721015 - 721513 - 951219
APORTA CERTIFICACION
EL CONTRATO No.3
INSCRITO EN LOS CODIGOS UNSPSC 721015 - 721513
APORTA ACTA DE LIQUIDACION
</t>
    </r>
    <r>
      <rPr>
        <b/>
        <sz val="11"/>
        <color rgb="FFFF0000"/>
        <rFont val="Arial Narrow"/>
        <family val="2"/>
      </rPr>
      <t/>
    </r>
  </si>
  <si>
    <t>ING. CIVIL
FECHA EXP. M.P. 1993
CARTA DE COMPROMISO
DISPONIBILIDAD 100%</t>
  </si>
  <si>
    <t>ING. CIVIL
FECHA EXP. M.P. 2000
CARTA DE COMPROMISO
DISPONIBILIDAD 100%
ACTA DE RECIBO FINAL COMO CONTRATISTA
CERTIFICACION TRABAJO EN ALTURAS EXP. 12/03/2017</t>
  </si>
  <si>
    <t>MAESTRO
FECHA EXP. 1997
CARTA DE COMPROMISO
DISPONIBILIDAD 100%
CERTIFICACION TRABAJO EN ALTURAS EXP. 18/08/2017</t>
  </si>
  <si>
    <t>UNSPSC
721015 - 721513 - 951219
NO APORTA ANEXO G. EXPERIENCIA ESPECIFICA DEL PROPONENTE</t>
  </si>
  <si>
    <t>UNSPSC
721015 - 951219</t>
  </si>
  <si>
    <r>
      <t xml:space="preserve">EL CONTRATO No.1
INSCRITO EN LOS CODIGOS UNSPSC
721015 - 951219
ACTA DE RECIBO FINAL
EL CONTRATO No.2
INSCRITO EN LOS CODIGOS UNSPSC
721015 - 721513
APORTA ACTA DE LIQUIDACION
</t>
    </r>
    <r>
      <rPr>
        <b/>
        <sz val="11"/>
        <color rgb="FFFF0000"/>
        <rFont val="Arial Narrow"/>
        <family val="2"/>
      </rPr>
      <t/>
    </r>
  </si>
  <si>
    <t>ING. CIVIL
FECHA EXP. M.P. 2006
CARTA DE COMPROMISO
DISPONIBILIDAD 100%</t>
  </si>
  <si>
    <t>ING. CIVIL
FECHA EXP. M.P. 2009
CARTA DE COMPROMISO
DISPONIBILIDAD 100%
ACTA DE LIQUIDACION COMO CONTRATISTA
CERTIFICACION TRABAJO EN ALTURAS EXP. 24/07/2017</t>
  </si>
  <si>
    <t>MAESTRO
FECHA EXP. 2000
CARTA DE COMPROMISO
DISPONIBILIDAD 100%
CERTIFICACION TRABAJO EN ALTURAS EXP. 24/07/2017</t>
  </si>
  <si>
    <t>MAESTRO
FECHA EXP. 2006
CARTA DE COMPROMISO
DISPONIBILIDAD 100%
CERTIFICACION TRABAJO EN ALTURAS EXP. 20/06/2017</t>
  </si>
  <si>
    <t>MAESTRO
FECHA EXP. 2008
CARTA DE COMPROMISO
DISPONIBILIDAD 100%
CERTIFICACION TRABAJO EN ALTURAS EXP. 24/07/2017
MAESTRO
FECHA EXP. 2001
CARTA DE COMPROMISO
DISPONIBILIDAD 100%
CERTIFICACION TRABAJO EN ALTURAS EXP. 24/07/2017</t>
  </si>
  <si>
    <t>MAESTRO
FECHA EXP. 2008
CARTA DE COMPROMISO
DISPONIBILIDAD 100%
CERTIFICACION TRABAJO EN ALTURAS EXP. 31/03/2017
MAESTRO
FECHA EXP. 2013
CARTA DE COMPROMISO
DISPONIBILIDAD 100%
CERTIFICACION TRABAJO EN ALTURAS EXP. 04/09/2017</t>
  </si>
  <si>
    <t>MAESTRO
FECHA EXP. 2002
CARTA DE COMPROMISO
DISPONIBILIDAD 100%
CERTIFICACION TRABAJO EN ALTURAS EXP. 24/07/2017
MAESTRO
FECHA EXP. 2003
CARTA DE COMPROMISO
DISPONIBILIDAD 100%
CERTIFICACION TRABAJO EN ALTURAS EXP. 24/07/2017</t>
  </si>
  <si>
    <t>ESPECIALISTA EN SALUD OCUPACIONAL
FECHA EXP. 01/02/2012
CARTA DE COMPROMISO
DISPONIBILIDAD 100%</t>
  </si>
  <si>
    <t>ESPECIALISTA EN SALUD OCUPACIONAL
FECHA EXP. 25/01/2010
CARTA DE COMPROMISO
DISPONIBILIDAD 100%</t>
  </si>
  <si>
    <t>PRESUPUESTO OFICIAL ENLUCIMIENTO DE FACHADAS EXTERNAS DE LOS EDIFICIOS DE LA UNIVERSIDAD DEL CAUCA, UBICADOS EN EL SECTOR HISTÓRICO DE LA CIUDAD DE POPAYÁN</t>
  </si>
  <si>
    <t>No.</t>
  </si>
  <si>
    <t>DESCRIPCION</t>
  </si>
  <si>
    <t>UNID.</t>
  </si>
  <si>
    <t>VR. UNITARIO</t>
  </si>
  <si>
    <t>VR. TOTAL</t>
  </si>
  <si>
    <t>EDIFICIO DE SANTO DOMINGO</t>
  </si>
  <si>
    <t>1,1</t>
  </si>
  <si>
    <t>Rasqueteo de muros para retirar las capas de cal existentes</t>
  </si>
  <si>
    <t>1,2</t>
  </si>
  <si>
    <t>Pintura en promical y acronal de muros y aleros a dos manos, incluye resanes, estuco en los sitios que se requiera, andamios y equipo para trabajo en alturas.</t>
  </si>
  <si>
    <t>1,3</t>
  </si>
  <si>
    <t>Pintura en koraza para fachada del Paraninfo a tres manos, de acuerdo a colores determinados, incluye resanes, estuco en los sitios que se requiera, andamios y equipo para trabajo en alturas.</t>
  </si>
  <si>
    <t>1,4</t>
  </si>
  <si>
    <t>Pintura en vinilo tipo II, aplicado a tres manos en los aleros, incluye resanes sobre dilataciones del superboard.</t>
  </si>
  <si>
    <t>1,5</t>
  </si>
  <si>
    <t>Pintura en aceite para puertas ambas caras, incluye previo lijado de las superficies</t>
  </si>
  <si>
    <t>1,6</t>
  </si>
  <si>
    <t>Pintura en aceite para ventanas y balcones, ambas caras, incluye limpieza de vidrios</t>
  </si>
  <si>
    <t>1,7</t>
  </si>
  <si>
    <t>Pintura en esmalte de canales y bajantes</t>
  </si>
  <si>
    <t>1,8</t>
  </si>
  <si>
    <t>Protección acrílica  para el ladrillo a la vista, de las cornisas y ventanas, utilizando sika 101 y emulsión</t>
  </si>
  <si>
    <t>1,9</t>
  </si>
  <si>
    <t>Protección acrílica para portalones en piedra, utilizando sika 101 y emulsión</t>
  </si>
  <si>
    <t>1,10</t>
  </si>
  <si>
    <t>Limpieza interior de canales, incluye recolección y bote</t>
  </si>
  <si>
    <t>1,11</t>
  </si>
  <si>
    <t>Pintura en vinilo para cenefa doble</t>
  </si>
  <si>
    <t>1,12</t>
  </si>
  <si>
    <t>Pintura de faroles, incluye limpieza</t>
  </si>
  <si>
    <t>1,13</t>
  </si>
  <si>
    <t>protección acrílica para portalones en ladrillo</t>
  </si>
  <si>
    <t>1,14</t>
  </si>
  <si>
    <t>Pintura en vinilo para cenefa sencilla</t>
  </si>
  <si>
    <t>1,15</t>
  </si>
  <si>
    <t>aseo general y bote de escombro</t>
  </si>
  <si>
    <t>GLOB</t>
  </si>
  <si>
    <t>COSTO DIRECTO</t>
  </si>
  <si>
    <t>EDIFICIO PANTEON DE LOS PROCERES</t>
  </si>
  <si>
    <t>2,1</t>
  </si>
  <si>
    <t>Pintura en koraza 3 manos de muros y cornisas, incluye resanes, repellos, estuco en partes que sea necesario, andamios y equipo de seguridad industrial.</t>
  </si>
  <si>
    <t>2,2</t>
  </si>
  <si>
    <t>Pintura en aceite para puerta 1,86 x 3,80, ambas caras</t>
  </si>
  <si>
    <t>2,3</t>
  </si>
  <si>
    <t>Pintura puerta de balcón 1.25 x 2.65</t>
  </si>
  <si>
    <t>2,4</t>
  </si>
  <si>
    <t>Pintura en aceite para ventanas  1.40 x 2.00, ambas caras</t>
  </si>
  <si>
    <t>2,5</t>
  </si>
  <si>
    <t>Aseo general y bote de escombros</t>
  </si>
  <si>
    <t>EDIFICIO DE LA FACULTAD DE ARTE Y DISEÑO (CASA ROSADA)</t>
  </si>
  <si>
    <t>3,1</t>
  </si>
  <si>
    <t>3,2</t>
  </si>
  <si>
    <t>3,3</t>
  </si>
  <si>
    <t>3,4</t>
  </si>
  <si>
    <t>Pintura en aceite para puertas ambas caras, incluye balcones, incluye previo lijado de las superficies</t>
  </si>
  <si>
    <t>3,5</t>
  </si>
  <si>
    <t>3,6</t>
  </si>
  <si>
    <t>3,7</t>
  </si>
  <si>
    <t>Pintura  de rejas de seguridad, balcones</t>
  </si>
  <si>
    <t>3,8</t>
  </si>
  <si>
    <t>3,9</t>
  </si>
  <si>
    <t>Arreglo de canales y bajantes, incluye rectificación de soldaduras y/o reemplazo de tramos en mal estado</t>
  </si>
  <si>
    <t>3,10</t>
  </si>
  <si>
    <t>3,11</t>
  </si>
  <si>
    <t>EDIFICIO SEDE ADMINISTRATIVA</t>
  </si>
  <si>
    <t>4,1</t>
  </si>
  <si>
    <t>4,2</t>
  </si>
  <si>
    <t>Pintura en  vinilo a dos manos de muros y aleros, incluye resanes, estuco en los sitios que se requiera,  andamios y equipo de seguridad industrial</t>
  </si>
  <si>
    <t>4,3</t>
  </si>
  <si>
    <t>Pintura en aceite para puertas, ambas caras, incluye previo lijado de las superficies</t>
  </si>
  <si>
    <t>4,4</t>
  </si>
  <si>
    <t>4,5</t>
  </si>
  <si>
    <t>4,6</t>
  </si>
  <si>
    <t>Pintura de canales y bajantes</t>
  </si>
  <si>
    <t>4,7</t>
  </si>
  <si>
    <t>Pintura de rejas en aceite ambas caras</t>
  </si>
  <si>
    <t>4,8</t>
  </si>
  <si>
    <t>Pintura de balcones  en aceite ambas caras</t>
  </si>
  <si>
    <t>4,9</t>
  </si>
  <si>
    <t>EDIFICIO UNIDAD DE SALUD Y CASA ALBAN</t>
  </si>
  <si>
    <t>5,1</t>
  </si>
  <si>
    <t>5,2</t>
  </si>
  <si>
    <t>Pintura en vinilo de muros a tres, incluye resanes, estuco en los sitios que se requiera, andamios y equipo para trabajo en alturas.</t>
  </si>
  <si>
    <t>5,3</t>
  </si>
  <si>
    <t>5,4</t>
  </si>
  <si>
    <t>5,5</t>
  </si>
  <si>
    <t>5,6</t>
  </si>
  <si>
    <t>Protección acrílica para portalones en Ladrillo, utilizando sika 101 y emulsión</t>
  </si>
  <si>
    <t>5,7</t>
  </si>
  <si>
    <t>5,8</t>
  </si>
  <si>
    <t>EDIFICIO EL CARMEN FACULTAD DE HUMANAS</t>
  </si>
  <si>
    <t>6,1</t>
  </si>
  <si>
    <t>6,2</t>
  </si>
  <si>
    <t>Pintura en promical y acronal de muros y aleros a tres manos, incluye resanes, estuco en los sitios que se requiera,  andamios y equipo de seguridad industrial</t>
  </si>
  <si>
    <t>6,3</t>
  </si>
  <si>
    <t>6,4</t>
  </si>
  <si>
    <t>Repello 1:3 malla venada en aleros, incluye andamio metálico tubular, altura promedio 9 mts</t>
  </si>
  <si>
    <t>6,5</t>
  </si>
  <si>
    <t>6,6</t>
  </si>
  <si>
    <t>Pintura en aceite para ventanas y rejas, ambas caras, incluye limpieza de vidrios,  balcones,  previo lijado de las superficies</t>
  </si>
  <si>
    <t>6,7</t>
  </si>
  <si>
    <t>6,8</t>
  </si>
  <si>
    <t>6,9</t>
  </si>
  <si>
    <t>6,10</t>
  </si>
  <si>
    <t>Pintura  en aceite de canales y bajantes</t>
  </si>
  <si>
    <t>6,11</t>
  </si>
  <si>
    <t>EDIFICIO MUSEO CASA MOSQUERA Y ARCHIVO HISTORICO</t>
  </si>
  <si>
    <t>7,1</t>
  </si>
  <si>
    <t>7,2</t>
  </si>
  <si>
    <t>7,3</t>
  </si>
  <si>
    <t>Pintura en vinilo tipo II, aplicado a tres manos en los aleros, incluye resanes sobre dilataciones del  superboard.</t>
  </si>
  <si>
    <t>7,4</t>
  </si>
  <si>
    <t>Pintura en barniz para puertas exteriores, ambas caras, incluye previo lijado de las superficies</t>
  </si>
  <si>
    <t>7,5</t>
  </si>
  <si>
    <t>Pintura en barniz para ventanas incluye rejas, ambas caras, incluye previo lijado de las superficies</t>
  </si>
  <si>
    <t>7,6</t>
  </si>
  <si>
    <t>7,7</t>
  </si>
  <si>
    <t>7,8</t>
  </si>
  <si>
    <t>Pintura en aceite  de canales y bajantes</t>
  </si>
  <si>
    <t>7,9</t>
  </si>
  <si>
    <t>EDIFICIO FACULTAD DE ARTES</t>
  </si>
  <si>
    <t>8,1</t>
  </si>
  <si>
    <t>8,2</t>
  </si>
  <si>
    <t>8,3</t>
  </si>
  <si>
    <t>8,4</t>
  </si>
  <si>
    <t>8,5</t>
  </si>
  <si>
    <t>Pintura en aceite para ventanas incluye rejas, ambas caras,  rejas y  previo lijado de las superficies</t>
  </si>
  <si>
    <t>8,6</t>
  </si>
  <si>
    <t>8,7</t>
  </si>
  <si>
    <t>8,8</t>
  </si>
  <si>
    <t>8,9</t>
  </si>
  <si>
    <t>8,10</t>
  </si>
  <si>
    <t>EDIFICIO DE LA VICERRECTORIA DE INVESTIGACIONES</t>
  </si>
  <si>
    <t>9,1</t>
  </si>
  <si>
    <t>Pintura koraza a tres manos en muros y aleros, incluye resanes, estuco en los sitios que se requiera,  andamios y equipo de seguridad industrial, altura promedio = 10.60 mts</t>
  </si>
  <si>
    <t>9,2</t>
  </si>
  <si>
    <t>Construcción  e instalación de canales en lámina calibre 22  remachada y grafada de sección igual a la existente</t>
  </si>
  <si>
    <t>9,3</t>
  </si>
  <si>
    <t>COSTO TOTAL DIRECTO</t>
  </si>
  <si>
    <t xml:space="preserve">AUI 25% </t>
  </si>
  <si>
    <t>COSTO DIRECTO + COSTO INDIRECTO</t>
  </si>
  <si>
    <t>IVA 19% SOBRE UTILIDAD 5%</t>
  </si>
  <si>
    <t>COSTO TOTAL</t>
  </si>
  <si>
    <t>Contratista - Profesional Especializado</t>
  </si>
  <si>
    <t>PUNTAJE PERSONAL ADICIONAL</t>
  </si>
  <si>
    <t>PERSONAL ADICIONAL</t>
  </si>
  <si>
    <r>
      <t xml:space="preserve">EL CONTRATO No.1
</t>
    </r>
    <r>
      <rPr>
        <b/>
        <sz val="10"/>
        <color rgb="FFFF0000"/>
        <rFont val="Arial Narrow"/>
        <family val="2"/>
      </rPr>
      <t>NO APORTA ANEXO G. EXPERIENCIA ESPECIFICA DEL PROPONENTE</t>
    </r>
    <r>
      <rPr>
        <b/>
        <sz val="10"/>
        <rFont val="Arial Narrow"/>
        <family val="2"/>
      </rPr>
      <t xml:space="preserve">
APORTA ACTA DE LIQUIDACION Y ACTA DE RECIBO FINAL Y CERTIFICACION
EL CONTRATO No.2
</t>
    </r>
    <r>
      <rPr>
        <b/>
        <sz val="10"/>
        <color rgb="FFFF0000"/>
        <rFont val="Arial Narrow"/>
        <family val="2"/>
      </rPr>
      <t>NO APORTA ANEXO G. EXPERIENCIA ESPECIFICA DEL PROPONENTE</t>
    </r>
    <r>
      <rPr>
        <b/>
        <sz val="10"/>
        <rFont val="Arial Narrow"/>
        <family val="2"/>
      </rPr>
      <t xml:space="preserve">
APORTA ACTA DE RECIBO FINAL
</t>
    </r>
    <r>
      <rPr>
        <b/>
        <sz val="10"/>
        <color rgb="FFFF0000"/>
        <rFont val="Arial Narrow"/>
        <family val="2"/>
      </rPr>
      <t>SUBSANA EL ANEXO G. EXPERIENCIA ESPECIFICA SIN LA FIRMA DEL PROPONENTE INCUMPLIENDO LAS EXIGENCIAS DEL NUMERAL 2,3,1 DEL PLIEGO DE CONDICIONES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</si>
</sst>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quot;$&quot;* #,##0_-;\-&quot;$&quot;* #,##0_-;_-&quot;$&quot;* &quot;-&quot;_-;_-@_-"/>
    <numFmt numFmtId="41" formatCode="_-* #,##0_-;\-* #,##0_-;_-* &quot;-&quot;_-;_-@_-"/>
    <numFmt numFmtId="44" formatCode="_-&quot;$&quot;* #,##0.00_-;\-&quot;$&quot;* #,##0.00_-;_-&quot;$&quot;* &quot;-&quot;??_-;_-@_-"/>
    <numFmt numFmtId="164" formatCode="&quot;$&quot;\ #,##0_);[Red]\(&quot;$&quot;\ #,##0\)"/>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 numFmtId="176" formatCode="_-&quot;$&quot;* #,##0_-;\-&quot;$&quot;* #,##0_-;_-&quot;$&quot;* &quot;-&quot;??_-;_-@_-"/>
  </numFmts>
  <fonts count="41"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12"/>
      <name val="Calibri"/>
      <family val="2"/>
    </font>
    <font>
      <b/>
      <sz val="11"/>
      <color rgb="FFFF0000"/>
      <name val="Arial Narrow"/>
      <family val="2"/>
    </font>
    <font>
      <sz val="8"/>
      <color theme="1"/>
      <name val="Arial"/>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amily val="2"/>
    </font>
    <font>
      <sz val="10"/>
      <color theme="1"/>
      <name val="Calibri"/>
      <family val="2"/>
      <scheme val="minor"/>
    </font>
    <font>
      <b/>
      <sz val="14"/>
      <color rgb="FF0070C0"/>
      <name val="Arial Narrow"/>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2060"/>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19">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xf numFmtId="0" fontId="38" fillId="0" borderId="0"/>
  </cellStyleXfs>
  <cellXfs count="349">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9" fillId="0" borderId="21" xfId="112" applyFont="1" applyFill="1" applyBorder="1" applyAlignment="1">
      <alignment horizontal="center" vertical="center"/>
    </xf>
    <xf numFmtId="0" fontId="17" fillId="0" borderId="22" xfId="112" applyFont="1" applyBorder="1" applyAlignment="1">
      <alignment horizontal="justify" vertical="justify"/>
    </xf>
    <xf numFmtId="0" fontId="17" fillId="0" borderId="0" xfId="112" applyFont="1" applyFill="1" applyAlignment="1">
      <alignment vertical="justify"/>
    </xf>
    <xf numFmtId="0" fontId="26" fillId="0" borderId="0" xfId="112" applyFont="1" applyFill="1" applyAlignment="1">
      <alignment horizontal="left" vertical="center"/>
    </xf>
    <xf numFmtId="0" fontId="5" fillId="0" borderId="23" xfId="110" applyNumberFormat="1" applyFont="1" applyBorder="1" applyAlignment="1">
      <alignment horizontal="center" vertical="center"/>
    </xf>
    <xf numFmtId="168" fontId="27" fillId="8" borderId="23" xfId="110" applyNumberFormat="1" applyFont="1" applyFill="1" applyBorder="1" applyAlignment="1">
      <alignment horizontal="right" vertical="center"/>
    </xf>
    <xf numFmtId="0" fontId="5" fillId="0" borderId="23" xfId="110" applyFont="1" applyBorder="1" applyAlignment="1">
      <alignment horizontal="center" vertical="center"/>
    </xf>
    <xf numFmtId="0" fontId="8" fillId="0" borderId="27" xfId="0" applyFont="1" applyFill="1" applyBorder="1" applyAlignment="1">
      <alignment horizontal="center" vertical="center"/>
    </xf>
    <xf numFmtId="0" fontId="8" fillId="0" borderId="27" xfId="0" applyFont="1" applyFill="1" applyBorder="1" applyAlignment="1">
      <alignment horizontal="left" vertical="center" wrapText="1"/>
    </xf>
    <xf numFmtId="174" fontId="8" fillId="0" borderId="27" xfId="117" applyNumberFormat="1" applyFont="1" applyFill="1" applyBorder="1" applyAlignment="1">
      <alignment horizontal="center" vertical="center"/>
    </xf>
    <xf numFmtId="168" fontId="8" fillId="0" borderId="27" xfId="0" applyNumberFormat="1" applyFont="1" applyFill="1" applyBorder="1" applyAlignment="1">
      <alignment vertical="center"/>
    </xf>
    <xf numFmtId="0" fontId="18" fillId="0" borderId="27" xfId="112" applyFont="1" applyFill="1" applyBorder="1" applyAlignment="1">
      <alignment horizontal="center" vertical="center"/>
    </xf>
    <xf numFmtId="0" fontId="18" fillId="0" borderId="27" xfId="112" applyFont="1" applyFill="1" applyBorder="1" applyAlignment="1">
      <alignment horizontal="center" vertical="center" wrapText="1"/>
    </xf>
    <xf numFmtId="170" fontId="18" fillId="0" borderId="27"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7" xfId="0" applyFont="1" applyFill="1" applyBorder="1" applyAlignment="1">
      <alignment horizontal="left" vertical="center"/>
    </xf>
    <xf numFmtId="168" fontId="7" fillId="0" borderId="27" xfId="0" applyNumberFormat="1" applyFont="1" applyFill="1" applyBorder="1" applyAlignment="1">
      <alignment vertical="center"/>
    </xf>
    <xf numFmtId="0" fontId="7" fillId="0" borderId="27" xfId="0" applyFont="1" applyFill="1" applyBorder="1" applyAlignment="1">
      <alignment horizontal="center" vertical="center"/>
    </xf>
    <xf numFmtId="0" fontId="7" fillId="0" borderId="0" xfId="0" applyFont="1" applyFill="1" applyAlignment="1">
      <alignment horizontal="center" vertical="center"/>
    </xf>
    <xf numFmtId="2" fontId="8" fillId="0" borderId="27" xfId="0" applyNumberFormat="1" applyFont="1" applyFill="1" applyBorder="1" applyAlignment="1">
      <alignment horizontal="center" vertical="center"/>
    </xf>
    <xf numFmtId="3" fontId="2" fillId="0" borderId="27" xfId="98" applyNumberFormat="1" applyFont="1" applyFill="1" applyBorder="1" applyAlignment="1">
      <alignment horizontal="right" vertical="center"/>
    </xf>
    <xf numFmtId="10" fontId="2" fillId="0" borderId="27" xfId="97" applyNumberFormat="1" applyFont="1" applyFill="1" applyBorder="1" applyAlignment="1">
      <alignment horizontal="center" vertical="center"/>
    </xf>
    <xf numFmtId="10" fontId="8" fillId="0" borderId="27" xfId="97" applyNumberFormat="1" applyFont="1" applyFill="1" applyBorder="1" applyAlignment="1">
      <alignment horizontal="center" vertical="center"/>
    </xf>
    <xf numFmtId="168" fontId="12" fillId="0" borderId="27" xfId="1" applyNumberFormat="1" applyFont="1" applyFill="1" applyBorder="1" applyAlignment="1">
      <alignment horizontal="left" vertical="center"/>
    </xf>
    <xf numFmtId="10" fontId="12" fillId="0" borderId="27" xfId="97" applyNumberFormat="1" applyFont="1" applyFill="1" applyBorder="1" applyAlignment="1">
      <alignment horizontal="center" vertical="center"/>
    </xf>
    <xf numFmtId="3" fontId="12" fillId="0" borderId="27"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8" fontId="12" fillId="0" borderId="28" xfId="1" applyNumberFormat="1" applyFont="1" applyFill="1" applyBorder="1" applyAlignment="1">
      <alignment horizontal="left" vertical="center"/>
    </xf>
    <xf numFmtId="9" fontId="8" fillId="0" borderId="27" xfId="97" applyFont="1" applyFill="1" applyBorder="1" applyAlignment="1">
      <alignment vertical="center"/>
    </xf>
    <xf numFmtId="0" fontId="7" fillId="0" borderId="27" xfId="0" applyFont="1" applyFill="1" applyBorder="1" applyAlignment="1">
      <alignment vertical="center"/>
    </xf>
    <xf numFmtId="10" fontId="7" fillId="0" borderId="27" xfId="97" applyNumberFormat="1" applyFont="1" applyFill="1" applyBorder="1" applyAlignment="1">
      <alignment vertical="center"/>
    </xf>
    <xf numFmtId="0" fontId="19" fillId="0" borderId="27" xfId="112" applyFont="1" applyFill="1" applyBorder="1" applyAlignment="1">
      <alignment horizontal="center" vertical="center"/>
    </xf>
    <xf numFmtId="0" fontId="19" fillId="0" borderId="27" xfId="112" applyFont="1" applyFill="1" applyBorder="1" applyAlignment="1">
      <alignment horizontal="center" vertical="center" wrapText="1"/>
    </xf>
    <xf numFmtId="0" fontId="19" fillId="5" borderId="27" xfId="112" applyFont="1" applyFill="1" applyBorder="1" applyAlignment="1">
      <alignment horizontal="justify" vertical="center"/>
    </xf>
    <xf numFmtId="0" fontId="19" fillId="5" borderId="27" xfId="112" applyFont="1" applyFill="1" applyBorder="1" applyAlignment="1">
      <alignment horizontal="center" vertical="center" wrapText="1"/>
    </xf>
    <xf numFmtId="0" fontId="16" fillId="6" borderId="27" xfId="112" applyFont="1" applyFill="1" applyBorder="1" applyAlignment="1">
      <alignment horizontal="justify" vertical="center" wrapText="1"/>
    </xf>
    <xf numFmtId="0" fontId="20" fillId="0" borderId="27" xfId="112" applyFont="1" applyFill="1" applyBorder="1" applyAlignment="1">
      <alignment horizontal="center" vertical="center" wrapText="1"/>
    </xf>
    <xf numFmtId="0" fontId="16" fillId="6" borderId="27" xfId="112" applyFont="1" applyFill="1" applyBorder="1" applyAlignment="1">
      <alignment horizontal="left" vertical="center" wrapText="1"/>
    </xf>
    <xf numFmtId="167" fontId="18" fillId="0" borderId="27" xfId="113" applyNumberFormat="1" applyFont="1" applyFill="1" applyBorder="1" applyAlignment="1">
      <alignment horizontal="center" vertical="center" wrapText="1"/>
    </xf>
    <xf numFmtId="167" fontId="18" fillId="0" borderId="27" xfId="113" applyNumberFormat="1" applyFont="1" applyFill="1" applyBorder="1" applyAlignment="1">
      <alignment vertical="center" wrapText="1"/>
    </xf>
    <xf numFmtId="0" fontId="16" fillId="6" borderId="27" xfId="0" applyFont="1" applyFill="1" applyBorder="1" applyAlignment="1">
      <alignment horizontal="justify" vertical="center" wrapText="1"/>
    </xf>
    <xf numFmtId="0" fontId="18" fillId="0" borderId="27" xfId="0" applyFont="1" applyFill="1" applyBorder="1" applyAlignment="1">
      <alignment horizontal="center" vertical="center"/>
    </xf>
    <xf numFmtId="0" fontId="19" fillId="5" borderId="27" xfId="112" applyFont="1" applyFill="1" applyBorder="1" applyAlignment="1">
      <alignment horizontal="left" vertical="center"/>
    </xf>
    <xf numFmtId="0" fontId="25" fillId="5" borderId="27"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7"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0" fontId="18" fillId="0" borderId="0" xfId="112" applyNumberFormat="1" applyFont="1" applyFill="1" applyAlignment="1">
      <alignment horizontal="center" vertical="center"/>
    </xf>
    <xf numFmtId="170" fontId="18" fillId="0" borderId="0" xfId="112" applyNumberFormat="1" applyFont="1" applyFill="1" applyAlignment="1">
      <alignment horizontal="justify" vertical="justify"/>
    </xf>
    <xf numFmtId="175" fontId="16" fillId="0" borderId="0" xfId="112" applyNumberFormat="1" applyFont="1" applyFill="1" applyAlignment="1">
      <alignment horizontal="center" vertical="center"/>
    </xf>
    <xf numFmtId="175" fontId="18" fillId="0" borderId="0" xfId="112" applyNumberFormat="1" applyFont="1" applyFill="1" applyAlignment="1">
      <alignment horizontal="center" vertical="center"/>
    </xf>
    <xf numFmtId="0" fontId="32" fillId="0" borderId="0" xfId="112" applyFont="1" applyFill="1" applyAlignment="1">
      <alignment horizontal="center" vertical="center"/>
    </xf>
    <xf numFmtId="1" fontId="32" fillId="0" borderId="0" xfId="112" applyNumberFormat="1" applyFont="1" applyFill="1" applyAlignment="1">
      <alignment horizontal="center" vertical="center"/>
    </xf>
    <xf numFmtId="175"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0" fontId="16" fillId="0" borderId="0" xfId="112" applyNumberFormat="1" applyFont="1" applyFill="1" applyAlignment="1">
      <alignment horizontal="justify" vertical="justify"/>
    </xf>
    <xf numFmtId="170" fontId="18" fillId="0" borderId="27" xfId="112" applyNumberFormat="1" applyFont="1" applyFill="1" applyBorder="1" applyAlignment="1">
      <alignment horizontal="center" vertical="justify"/>
    </xf>
    <xf numFmtId="0" fontId="32" fillId="0" borderId="27" xfId="112" applyFont="1" applyFill="1" applyBorder="1" applyAlignment="1">
      <alignment horizontal="center" vertical="center"/>
    </xf>
    <xf numFmtId="170" fontId="33" fillId="0" borderId="27" xfId="112" applyNumberFormat="1" applyFont="1" applyFill="1" applyBorder="1" applyAlignment="1">
      <alignment horizontal="center" vertical="center"/>
    </xf>
    <xf numFmtId="0" fontId="18" fillId="0" borderId="27" xfId="112" applyFont="1" applyFill="1" applyBorder="1" applyAlignment="1">
      <alignment vertical="center"/>
    </xf>
    <xf numFmtId="0" fontId="33" fillId="0" borderId="27" xfId="112" applyNumberFormat="1" applyFont="1" applyFill="1" applyBorder="1" applyAlignment="1">
      <alignment horizontal="center" vertical="center"/>
    </xf>
    <xf numFmtId="0" fontId="18" fillId="0" borderId="27" xfId="112" applyFont="1" applyFill="1" applyBorder="1" applyAlignment="1">
      <alignment horizontal="left" vertical="center"/>
    </xf>
    <xf numFmtId="0" fontId="33" fillId="0" borderId="27" xfId="112" applyFont="1" applyFill="1" applyBorder="1" applyAlignment="1">
      <alignment horizontal="center" vertical="center"/>
    </xf>
    <xf numFmtId="0" fontId="16" fillId="0" borderId="0" xfId="112" applyFont="1" applyFill="1" applyAlignment="1">
      <alignment horizontal="left" vertical="center"/>
    </xf>
    <xf numFmtId="0" fontId="33" fillId="0" borderId="0" xfId="112" applyFont="1" applyFill="1" applyAlignment="1">
      <alignment horizontal="justify" vertical="justify"/>
    </xf>
    <xf numFmtId="2" fontId="34" fillId="0" borderId="27" xfId="112" applyNumberFormat="1" applyFont="1" applyFill="1" applyBorder="1" applyAlignment="1">
      <alignment horizontal="center" vertical="center"/>
    </xf>
    <xf numFmtId="2" fontId="32" fillId="0" borderId="27" xfId="112" applyNumberFormat="1" applyFont="1" applyFill="1" applyBorder="1" applyAlignment="1">
      <alignment horizontal="center" vertical="center"/>
    </xf>
    <xf numFmtId="0" fontId="32" fillId="2" borderId="27" xfId="112" applyFont="1" applyFill="1" applyBorder="1" applyAlignment="1">
      <alignment horizontal="center" vertical="center"/>
    </xf>
    <xf numFmtId="0" fontId="35" fillId="0" borderId="0" xfId="112" applyFont="1" applyFill="1" applyAlignment="1">
      <alignment vertical="center"/>
    </xf>
    <xf numFmtId="0" fontId="36" fillId="0" borderId="0" xfId="112" applyFont="1" applyFill="1" applyAlignment="1">
      <alignment vertical="justify"/>
    </xf>
    <xf numFmtId="0" fontId="2" fillId="0" borderId="0" xfId="112"/>
    <xf numFmtId="0" fontId="36"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7" fillId="0" borderId="0" xfId="112" applyFont="1" applyFill="1" applyAlignment="1">
      <alignment vertical="center"/>
    </xf>
    <xf numFmtId="0" fontId="37"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7" xfId="112" applyFont="1" applyFill="1" applyBorder="1" applyAlignment="1">
      <alignment horizontal="center" vertical="center"/>
    </xf>
    <xf numFmtId="0" fontId="17" fillId="0" borderId="27"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horizontal="center" vertical="center" wrapText="1"/>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20" fillId="0" borderId="0" xfId="112" applyFont="1" applyFill="1" applyBorder="1" applyAlignment="1">
      <alignment vertical="center" wrapText="1"/>
    </xf>
    <xf numFmtId="0" fontId="19" fillId="0" borderId="27" xfId="112" applyFont="1" applyFill="1" applyBorder="1" applyAlignment="1">
      <alignment horizontal="center" vertical="center"/>
    </xf>
    <xf numFmtId="0" fontId="7" fillId="0" borderId="2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19" fillId="0" borderId="27" xfId="112" applyFont="1" applyFill="1" applyBorder="1" applyAlignment="1">
      <alignment horizontal="center" vertical="center"/>
    </xf>
    <xf numFmtId="0" fontId="20" fillId="0" borderId="0" xfId="112" applyFont="1" applyFill="1" applyBorder="1" applyAlignment="1">
      <alignment vertical="center" wrapText="1"/>
    </xf>
    <xf numFmtId="0" fontId="6" fillId="0" borderId="0" xfId="118" applyFont="1" applyFill="1" applyAlignment="1">
      <alignment vertical="center"/>
    </xf>
    <xf numFmtId="0" fontId="17" fillId="0" borderId="0" xfId="118" applyFont="1" applyFill="1" applyAlignment="1">
      <alignment vertical="center"/>
    </xf>
    <xf numFmtId="0" fontId="6" fillId="0" borderId="0" xfId="118" applyFont="1" applyFill="1" applyBorder="1" applyAlignment="1">
      <alignment vertical="center"/>
    </xf>
    <xf numFmtId="0" fontId="6" fillId="2" borderId="27" xfId="118" applyFont="1" applyFill="1" applyBorder="1" applyAlignment="1">
      <alignment horizontal="center" vertical="center" wrapText="1"/>
    </xf>
    <xf numFmtId="0" fontId="17" fillId="0" borderId="0" xfId="118" applyFont="1" applyFill="1"/>
    <xf numFmtId="0" fontId="18" fillId="0" borderId="27" xfId="118" applyFont="1" applyFill="1" applyBorder="1" applyAlignment="1">
      <alignment horizontal="center" vertical="center"/>
    </xf>
    <xf numFmtId="0" fontId="18" fillId="0" borderId="27" xfId="118" applyFont="1" applyFill="1" applyBorder="1" applyAlignment="1">
      <alignment horizontal="center" vertical="center" wrapText="1"/>
    </xf>
    <xf numFmtId="0" fontId="19" fillId="0" borderId="19" xfId="118" applyFont="1" applyFill="1" applyBorder="1" applyAlignment="1">
      <alignment horizontal="center" vertical="center"/>
    </xf>
    <xf numFmtId="0" fontId="20" fillId="0" borderId="27" xfId="118" applyFont="1" applyFill="1" applyBorder="1" applyAlignment="1">
      <alignment horizontal="center" vertical="center"/>
    </xf>
    <xf numFmtId="0" fontId="33" fillId="6" borderId="11" xfId="118" applyFont="1" applyFill="1" applyBorder="1" applyAlignment="1">
      <alignment horizontal="justify" vertical="center"/>
    </xf>
    <xf numFmtId="0" fontId="20" fillId="0" borderId="11" xfId="118" applyFont="1" applyFill="1" applyBorder="1" applyAlignment="1">
      <alignment horizontal="center" vertical="center"/>
    </xf>
    <xf numFmtId="0" fontId="33" fillId="6" borderId="27" xfId="118" applyFont="1" applyFill="1" applyBorder="1" applyAlignment="1">
      <alignment horizontal="justify" vertical="center"/>
    </xf>
    <xf numFmtId="170" fontId="18" fillId="0" borderId="27" xfId="118" applyNumberFormat="1" applyFont="1" applyFill="1" applyBorder="1" applyAlignment="1">
      <alignment horizontal="center" vertical="center" wrapText="1"/>
    </xf>
    <xf numFmtId="0" fontId="33" fillId="6" borderId="27" xfId="118" applyFont="1" applyFill="1" applyBorder="1" applyAlignment="1">
      <alignment horizontal="justify" vertical="center" wrapText="1"/>
    </xf>
    <xf numFmtId="0" fontId="29" fillId="0" borderId="27" xfId="118" applyFont="1" applyBorder="1" applyAlignment="1">
      <alignment horizontal="justify" vertical="center"/>
    </xf>
    <xf numFmtId="0" fontId="17" fillId="0" borderId="0" xfId="118" applyFont="1" applyBorder="1" applyAlignment="1">
      <alignment horizontal="justify" vertical="justify"/>
    </xf>
    <xf numFmtId="0" fontId="18" fillId="0" borderId="0" xfId="118" applyFont="1" applyFill="1" applyAlignment="1">
      <alignment horizontal="center" vertical="center"/>
    </xf>
    <xf numFmtId="0" fontId="17" fillId="0" borderId="0" xfId="118" applyFont="1" applyFill="1" applyAlignment="1">
      <alignment horizontal="center" vertical="center"/>
    </xf>
    <xf numFmtId="0" fontId="18" fillId="0" borderId="0" xfId="118" applyFont="1" applyFill="1" applyAlignment="1">
      <alignment horizontal="justify" vertical="justify"/>
    </xf>
    <xf numFmtId="0" fontId="18" fillId="0" borderId="0" xfId="118" applyFont="1" applyFill="1" applyAlignment="1">
      <alignment vertical="center"/>
    </xf>
    <xf numFmtId="0" fontId="19" fillId="0" borderId="0" xfId="118" applyFont="1" applyFill="1" applyAlignment="1">
      <alignment horizontal="justify" vertical="justify"/>
    </xf>
    <xf numFmtId="0" fontId="17" fillId="0" borderId="0" xfId="118" applyFont="1" applyFill="1" applyAlignment="1">
      <alignment horizontal="justify" vertical="justify"/>
    </xf>
    <xf numFmtId="0" fontId="18" fillId="0" borderId="0" xfId="118" applyFont="1" applyFill="1" applyBorder="1" applyAlignment="1">
      <alignment horizontal="left" vertical="top"/>
    </xf>
    <xf numFmtId="0" fontId="18" fillId="0" borderId="0" xfId="118" applyFont="1" applyFill="1"/>
    <xf numFmtId="0" fontId="16" fillId="0" borderId="0" xfId="118" applyFont="1" applyFill="1"/>
    <xf numFmtId="0" fontId="19" fillId="7" borderId="28" xfId="112" applyFont="1" applyFill="1" applyBorder="1" applyAlignment="1">
      <alignment vertical="justify"/>
    </xf>
    <xf numFmtId="0" fontId="17" fillId="0" borderId="27" xfId="112" applyFont="1" applyFill="1" applyBorder="1" applyAlignment="1">
      <alignment horizontal="justify" vertical="center" wrapText="1"/>
    </xf>
    <xf numFmtId="167" fontId="19" fillId="0" borderId="27" xfId="113" applyNumberFormat="1" applyFont="1" applyFill="1" applyBorder="1" applyAlignment="1">
      <alignment horizontal="center" vertical="center" wrapText="1"/>
    </xf>
    <xf numFmtId="0" fontId="17" fillId="0" borderId="27" xfId="112" applyFont="1" applyFill="1" applyBorder="1" applyAlignment="1">
      <alignment horizontal="justify" vertical="center"/>
    </xf>
    <xf numFmtId="0" fontId="19" fillId="0" borderId="27" xfId="112" applyFont="1" applyFill="1" applyBorder="1" applyAlignment="1">
      <alignment vertical="center" wrapText="1"/>
    </xf>
    <xf numFmtId="0" fontId="19" fillId="0" borderId="20" xfId="112" applyFont="1" applyFill="1" applyBorder="1" applyAlignment="1">
      <alignment horizontal="left" vertical="center" wrapText="1"/>
    </xf>
    <xf numFmtId="0" fontId="19" fillId="0" borderId="28" xfId="112" applyFont="1" applyFill="1" applyBorder="1" applyAlignment="1">
      <alignment horizontal="left" vertical="center"/>
    </xf>
    <xf numFmtId="0" fontId="7" fillId="0" borderId="18" xfId="0" applyFont="1" applyBorder="1" applyAlignment="1">
      <alignment horizontal="center" vertical="center"/>
    </xf>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8" fillId="0" borderId="18" xfId="0" applyFont="1" applyBorder="1" applyAlignment="1">
      <alignment horizontal="center" vertical="center"/>
    </xf>
    <xf numFmtId="0" fontId="8" fillId="0" borderId="18" xfId="0" applyFont="1" applyBorder="1" applyAlignment="1">
      <alignment vertical="center" wrapText="1"/>
    </xf>
    <xf numFmtId="0" fontId="39" fillId="0" borderId="18" xfId="0" applyFont="1" applyBorder="1" applyAlignment="1">
      <alignment vertical="center"/>
    </xf>
    <xf numFmtId="0" fontId="7" fillId="0" borderId="18" xfId="0" applyFont="1" applyBorder="1" applyAlignment="1">
      <alignment vertical="center"/>
    </xf>
    <xf numFmtId="176" fontId="8" fillId="0" borderId="18" xfId="96" applyNumberFormat="1" applyFont="1" applyBorder="1" applyAlignment="1">
      <alignment horizontal="right" vertical="center"/>
    </xf>
    <xf numFmtId="176" fontId="7" fillId="0" borderId="18" xfId="96" applyNumberFormat="1" applyFont="1" applyBorder="1" applyAlignment="1">
      <alignment vertical="center"/>
    </xf>
    <xf numFmtId="176" fontId="7" fillId="0" borderId="18" xfId="96" applyNumberFormat="1" applyFont="1" applyBorder="1" applyAlignment="1">
      <alignment horizontal="right" vertical="center"/>
    </xf>
    <xf numFmtId="176" fontId="7" fillId="0" borderId="18" xfId="96" applyNumberFormat="1" applyFont="1" applyBorder="1" applyAlignment="1">
      <alignment vertical="center" wrapText="1"/>
    </xf>
    <xf numFmtId="0" fontId="8" fillId="0" borderId="18" xfId="0" applyFont="1" applyFill="1" applyBorder="1" applyAlignment="1">
      <alignment horizontal="center" vertical="center"/>
    </xf>
    <xf numFmtId="0" fontId="31" fillId="0" borderId="18" xfId="0" applyFont="1" applyFill="1" applyBorder="1" applyAlignment="1">
      <alignment horizontal="left" vertical="center" wrapText="1"/>
    </xf>
    <xf numFmtId="174" fontId="8" fillId="0" borderId="18" xfId="117" applyNumberFormat="1" applyFont="1" applyFill="1" applyBorder="1" applyAlignment="1">
      <alignment horizontal="center" vertical="center"/>
    </xf>
    <xf numFmtId="168" fontId="8" fillId="0" borderId="18" xfId="2" applyNumberFormat="1" applyFont="1" applyFill="1" applyBorder="1" applyAlignment="1">
      <alignment vertical="center"/>
    </xf>
    <xf numFmtId="168" fontId="8" fillId="0" borderId="18" xfId="0" applyNumberFormat="1" applyFont="1" applyFill="1" applyBorder="1" applyAlignment="1">
      <alignment vertical="center"/>
    </xf>
    <xf numFmtId="0" fontId="5" fillId="0" borderId="29" xfId="110" applyNumberFormat="1" applyFont="1" applyBorder="1" applyAlignment="1">
      <alignment horizontal="center" vertical="center"/>
    </xf>
    <xf numFmtId="2" fontId="8" fillId="0" borderId="27" xfId="0" applyNumberFormat="1" applyFont="1" applyFill="1" applyBorder="1" applyAlignment="1">
      <alignment vertical="center"/>
    </xf>
    <xf numFmtId="2" fontId="7" fillId="0" borderId="27" xfId="0" applyNumberFormat="1" applyFont="1" applyFill="1" applyBorder="1" applyAlignment="1">
      <alignment vertical="center"/>
    </xf>
    <xf numFmtId="176" fontId="8" fillId="0" borderId="27" xfId="96" applyNumberFormat="1" applyFont="1" applyFill="1" applyBorder="1" applyAlignment="1">
      <alignment vertical="center"/>
    </xf>
    <xf numFmtId="176" fontId="7" fillId="0" borderId="27" xfId="96" applyNumberFormat="1" applyFont="1" applyFill="1" applyBorder="1" applyAlignment="1">
      <alignment horizontal="center" vertical="center"/>
    </xf>
    <xf numFmtId="176" fontId="7" fillId="0" borderId="27" xfId="96" applyNumberFormat="1" applyFont="1" applyFill="1" applyBorder="1" applyAlignment="1">
      <alignment vertical="center"/>
    </xf>
    <xf numFmtId="0" fontId="8" fillId="0" borderId="27" xfId="97" applyNumberFormat="1" applyFont="1" applyFill="1" applyBorder="1" applyAlignment="1">
      <alignment vertical="center"/>
    </xf>
    <xf numFmtId="170" fontId="40" fillId="0" borderId="27" xfId="112" applyNumberFormat="1" applyFont="1" applyFill="1" applyBorder="1" applyAlignment="1">
      <alignment horizontal="center" vertical="justify"/>
    </xf>
    <xf numFmtId="0" fontId="19" fillId="0" borderId="19" xfId="118" applyFont="1" applyFill="1" applyBorder="1" applyAlignment="1">
      <alignment horizontal="center" vertical="center"/>
    </xf>
    <xf numFmtId="0" fontId="19" fillId="0" borderId="17" xfId="118" applyFont="1" applyFill="1" applyBorder="1" applyAlignment="1">
      <alignment horizontal="center" vertical="center"/>
    </xf>
    <xf numFmtId="0" fontId="19" fillId="0" borderId="11" xfId="118" applyFont="1" applyFill="1" applyBorder="1" applyAlignment="1">
      <alignment horizontal="center" vertical="center"/>
    </xf>
    <xf numFmtId="0" fontId="18" fillId="0" borderId="19" xfId="118" applyFont="1" applyFill="1" applyBorder="1" applyAlignment="1">
      <alignment horizontal="center" vertical="center"/>
    </xf>
    <xf numFmtId="0" fontId="18" fillId="0" borderId="11" xfId="118" applyFont="1" applyFill="1" applyBorder="1" applyAlignment="1">
      <alignment horizontal="center" vertical="center"/>
    </xf>
    <xf numFmtId="0" fontId="18" fillId="0" borderId="27" xfId="118" applyFont="1" applyFill="1" applyBorder="1" applyAlignment="1">
      <alignment horizontal="center" vertical="justify"/>
    </xf>
    <xf numFmtId="0" fontId="18" fillId="0" borderId="28" xfId="118" applyFont="1" applyFill="1" applyBorder="1" applyAlignment="1">
      <alignment horizontal="center" vertical="justify"/>
    </xf>
    <xf numFmtId="0" fontId="18" fillId="0" borderId="2" xfId="118" applyFont="1" applyFill="1" applyBorder="1" applyAlignment="1">
      <alignment horizontal="center" vertical="justify"/>
    </xf>
    <xf numFmtId="0" fontId="23" fillId="7" borderId="28" xfId="118" applyFont="1" applyFill="1" applyBorder="1" applyAlignment="1">
      <alignment horizontal="left" vertical="center" wrapText="1"/>
    </xf>
    <xf numFmtId="0" fontId="23" fillId="7" borderId="20" xfId="118" applyFont="1" applyFill="1" applyBorder="1" applyAlignment="1">
      <alignment horizontal="left" vertical="center" wrapText="1"/>
    </xf>
    <xf numFmtId="0" fontId="6" fillId="0" borderId="27" xfId="118" applyFont="1" applyFill="1" applyBorder="1" applyAlignment="1">
      <alignment horizontal="center" vertical="center"/>
    </xf>
    <xf numFmtId="0" fontId="6" fillId="0" borderId="28" xfId="118" applyFont="1" applyFill="1" applyBorder="1" applyAlignment="1">
      <alignment horizontal="center" vertical="center"/>
    </xf>
    <xf numFmtId="0" fontId="6" fillId="0" borderId="20" xfId="118" applyFont="1" applyFill="1" applyBorder="1" applyAlignment="1">
      <alignment horizontal="center" vertical="center"/>
    </xf>
    <xf numFmtId="0" fontId="6" fillId="0" borderId="28" xfId="118" applyFont="1" applyFill="1" applyBorder="1" applyAlignment="1">
      <alignment horizontal="center" vertical="center" wrapText="1"/>
    </xf>
    <xf numFmtId="0" fontId="6" fillId="0" borderId="20" xfId="118" applyFont="1" applyFill="1" applyBorder="1" applyAlignment="1">
      <alignment horizontal="center" vertical="center" wrapText="1"/>
    </xf>
    <xf numFmtId="0" fontId="23" fillId="0" borderId="27" xfId="118" applyFont="1" applyFill="1" applyBorder="1" applyAlignment="1">
      <alignment horizontal="center" vertical="center" wrapText="1"/>
    </xf>
    <xf numFmtId="0" fontId="23" fillId="0" borderId="28" xfId="118" applyFont="1" applyFill="1" applyBorder="1" applyAlignment="1">
      <alignment horizontal="center" vertical="center" wrapText="1"/>
    </xf>
    <xf numFmtId="0" fontId="23" fillId="0" borderId="2" xfId="118" applyFont="1" applyFill="1" applyBorder="1" applyAlignment="1">
      <alignment horizontal="center" vertical="center" wrapText="1"/>
    </xf>
    <xf numFmtId="0" fontId="18" fillId="0" borderId="5" xfId="118" applyFont="1" applyFill="1" applyBorder="1" applyAlignment="1">
      <alignment horizontal="center" vertical="center"/>
    </xf>
    <xf numFmtId="0" fontId="18" fillId="0" borderId="6" xfId="118" applyFont="1" applyFill="1" applyBorder="1" applyAlignment="1">
      <alignment horizontal="center" vertical="center"/>
    </xf>
    <xf numFmtId="0" fontId="18" fillId="3" borderId="27" xfId="118" applyFont="1" applyFill="1" applyBorder="1" applyAlignment="1">
      <alignment horizontal="center" vertical="center"/>
    </xf>
    <xf numFmtId="0" fontId="12" fillId="0" borderId="0" xfId="112" applyFont="1" applyFill="1" applyBorder="1" applyAlignment="1">
      <alignment vertical="center" wrapText="1"/>
    </xf>
    <xf numFmtId="0" fontId="18" fillId="0" borderId="27" xfId="112" applyFont="1" applyFill="1" applyBorder="1" applyAlignment="1">
      <alignment horizontal="center" vertical="justify"/>
    </xf>
    <xf numFmtId="0" fontId="23" fillId="0" borderId="27" xfId="112" applyFont="1" applyFill="1" applyBorder="1" applyAlignment="1">
      <alignment horizontal="center"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7" fillId="4" borderId="27" xfId="112" applyFont="1" applyFill="1" applyBorder="1" applyAlignment="1">
      <alignment horizontal="center" vertical="justify"/>
    </xf>
    <xf numFmtId="0" fontId="19" fillId="4" borderId="27"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19" fillId="0" borderId="27" xfId="112" applyFont="1" applyFill="1" applyBorder="1" applyAlignment="1">
      <alignment horizontal="center" vertical="center"/>
    </xf>
    <xf numFmtId="0" fontId="19" fillId="3" borderId="28" xfId="112" applyFont="1" applyFill="1" applyBorder="1" applyAlignment="1">
      <alignment horizontal="center" vertical="center" wrapText="1"/>
    </xf>
    <xf numFmtId="0" fontId="2" fillId="3" borderId="2" xfId="112" applyFill="1" applyBorder="1" applyAlignment="1">
      <alignment horizontal="center" vertical="center" wrapText="1"/>
    </xf>
    <xf numFmtId="0" fontId="20" fillId="0" borderId="0" xfId="112" applyFont="1" applyFill="1" applyBorder="1" applyAlignment="1">
      <alignment vertical="center" wrapText="1"/>
    </xf>
    <xf numFmtId="0" fontId="17" fillId="0" borderId="28" xfId="112" applyFont="1" applyFill="1" applyBorder="1" applyAlignment="1">
      <alignment horizontal="center" vertical="justify"/>
    </xf>
    <xf numFmtId="0" fontId="17" fillId="0" borderId="2" xfId="112" applyFont="1" applyFill="1" applyBorder="1" applyAlignment="1">
      <alignment horizontal="center" vertical="justify"/>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4" xfId="111" applyNumberFormat="1" applyFont="1" applyBorder="1" applyAlignment="1">
      <alignment horizontal="center" vertical="center"/>
    </xf>
    <xf numFmtId="10" fontId="28" fillId="0" borderId="25" xfId="111" applyNumberFormat="1" applyFont="1" applyBorder="1" applyAlignment="1">
      <alignment horizontal="center" vertical="center"/>
    </xf>
    <xf numFmtId="10" fontId="28" fillId="0" borderId="26" xfId="111" applyNumberFormat="1" applyFont="1" applyBorder="1" applyAlignment="1">
      <alignment horizontal="center" vertical="center"/>
    </xf>
    <xf numFmtId="17" fontId="7" fillId="0" borderId="27" xfId="0" applyNumberFormat="1"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76">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02%20VICERRECTORIA\2018\LICITACIONES\01\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02%20VICERRECTORIA\2018\LICITACIONES\01\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7"/>
  <sheetViews>
    <sheetView view="pageBreakPreview" topLeftCell="A13" zoomScale="50" zoomScaleNormal="80" zoomScaleSheetLayoutView="50" zoomScalePageLayoutView="70" workbookViewId="0">
      <selection activeCell="H32" sqref="H32"/>
    </sheetView>
  </sheetViews>
  <sheetFormatPr baseColWidth="10" defaultColWidth="11.42578125" defaultRowHeight="12.75" x14ac:dyDescent="0.2"/>
  <cols>
    <col min="1" max="1" width="10" style="238" customWidth="1"/>
    <col min="2" max="2" width="69.140625" style="242" customWidth="1"/>
    <col min="3" max="3" width="15.7109375" style="241" customWidth="1"/>
    <col min="4" max="4" width="32.85546875" style="241" customWidth="1"/>
    <col min="5" max="5" width="19.42578125" style="241" customWidth="1"/>
    <col min="6" max="6" width="56.5703125" style="241" customWidth="1"/>
    <col min="7" max="7" width="19.42578125" style="241" customWidth="1"/>
    <col min="8" max="8" width="32.85546875" style="241" customWidth="1"/>
    <col min="9" max="9" width="19.42578125" style="241" customWidth="1"/>
    <col min="10" max="10" width="50.28515625" style="241" customWidth="1"/>
    <col min="11" max="11" width="15.7109375" style="225" customWidth="1"/>
    <col min="12" max="16384" width="11.42578125" style="225"/>
  </cols>
  <sheetData>
    <row r="1" spans="1:10" s="222" customFormat="1" ht="33" customHeight="1" x14ac:dyDescent="0.25">
      <c r="A1" s="221"/>
      <c r="B1" s="221"/>
      <c r="C1" s="287" t="s">
        <v>103</v>
      </c>
      <c r="D1" s="287"/>
      <c r="E1" s="287"/>
      <c r="F1" s="287"/>
      <c r="G1" s="287"/>
      <c r="H1" s="287"/>
      <c r="I1" s="287"/>
      <c r="J1" s="287"/>
    </row>
    <row r="2" spans="1:10" s="222" customFormat="1" ht="33" customHeight="1" x14ac:dyDescent="0.25">
      <c r="A2" s="221"/>
      <c r="B2" s="221"/>
      <c r="C2" s="288" t="s">
        <v>145</v>
      </c>
      <c r="D2" s="289"/>
      <c r="E2" s="289"/>
      <c r="F2" s="289"/>
      <c r="G2" s="289"/>
      <c r="H2" s="289"/>
      <c r="I2" s="289"/>
      <c r="J2" s="289"/>
    </row>
    <row r="3" spans="1:10" s="222" customFormat="1" ht="33" customHeight="1" x14ac:dyDescent="0.25">
      <c r="A3" s="221"/>
      <c r="B3" s="221"/>
      <c r="C3" s="287" t="s">
        <v>188</v>
      </c>
      <c r="D3" s="287"/>
      <c r="E3" s="287"/>
      <c r="F3" s="287"/>
      <c r="G3" s="287"/>
      <c r="H3" s="287"/>
      <c r="I3" s="287"/>
      <c r="J3" s="287"/>
    </row>
    <row r="4" spans="1:10" s="222" customFormat="1" ht="33" customHeight="1" x14ac:dyDescent="0.25">
      <c r="A4" s="221"/>
      <c r="B4" s="221"/>
      <c r="C4" s="287" t="s">
        <v>146</v>
      </c>
      <c r="D4" s="287"/>
      <c r="E4" s="287"/>
      <c r="F4" s="287"/>
      <c r="G4" s="287"/>
      <c r="H4" s="287"/>
      <c r="I4" s="287"/>
      <c r="J4" s="287"/>
    </row>
    <row r="5" spans="1:10" s="222" customFormat="1" ht="68.25" customHeight="1" x14ac:dyDescent="0.25">
      <c r="A5" s="223"/>
      <c r="B5" s="224"/>
      <c r="C5" s="290" t="s">
        <v>189</v>
      </c>
      <c r="D5" s="291"/>
      <c r="E5" s="291"/>
      <c r="F5" s="291"/>
      <c r="G5" s="291"/>
      <c r="H5" s="291"/>
      <c r="I5" s="291"/>
      <c r="J5" s="291"/>
    </row>
    <row r="6" spans="1:10" ht="25.5" customHeight="1" x14ac:dyDescent="0.2">
      <c r="A6" s="277" t="s">
        <v>0</v>
      </c>
      <c r="B6" s="280" t="s">
        <v>105</v>
      </c>
      <c r="C6" s="282">
        <v>1</v>
      </c>
      <c r="D6" s="282"/>
      <c r="E6" s="283">
        <v>4</v>
      </c>
      <c r="F6" s="284"/>
      <c r="G6" s="283">
        <v>6</v>
      </c>
      <c r="H6" s="284"/>
      <c r="I6" s="282">
        <v>7</v>
      </c>
      <c r="J6" s="282"/>
    </row>
    <row r="7" spans="1:10" ht="52.5" customHeight="1" x14ac:dyDescent="0.2">
      <c r="A7" s="278"/>
      <c r="B7" s="281"/>
      <c r="C7" s="292" t="s">
        <v>190</v>
      </c>
      <c r="D7" s="292"/>
      <c r="E7" s="293" t="s">
        <v>191</v>
      </c>
      <c r="F7" s="294"/>
      <c r="G7" s="293" t="s">
        <v>192</v>
      </c>
      <c r="H7" s="294"/>
      <c r="I7" s="292" t="s">
        <v>193</v>
      </c>
      <c r="J7" s="292"/>
    </row>
    <row r="8" spans="1:10" ht="64.5" customHeight="1" x14ac:dyDescent="0.2">
      <c r="A8" s="279"/>
      <c r="B8" s="226" t="s">
        <v>106</v>
      </c>
      <c r="C8" s="226" t="s">
        <v>107</v>
      </c>
      <c r="D8" s="227" t="s">
        <v>147</v>
      </c>
      <c r="E8" s="226" t="s">
        <v>107</v>
      </c>
      <c r="F8" s="227" t="s">
        <v>147</v>
      </c>
      <c r="G8" s="226" t="s">
        <v>107</v>
      </c>
      <c r="H8" s="227" t="s">
        <v>147</v>
      </c>
      <c r="I8" s="226" t="s">
        <v>107</v>
      </c>
      <c r="J8" s="227" t="s">
        <v>147</v>
      </c>
    </row>
    <row r="9" spans="1:10" ht="45" customHeight="1" x14ac:dyDescent="0.2">
      <c r="A9" s="228"/>
      <c r="B9" s="285" t="s">
        <v>148</v>
      </c>
      <c r="C9" s="286"/>
      <c r="D9" s="286"/>
      <c r="E9" s="286"/>
      <c r="F9" s="286"/>
      <c r="G9" s="286"/>
      <c r="H9" s="286"/>
      <c r="I9" s="286"/>
      <c r="J9" s="286"/>
    </row>
    <row r="10" spans="1:10" ht="60" customHeight="1" x14ac:dyDescent="0.2">
      <c r="A10" s="229">
        <v>1</v>
      </c>
      <c r="B10" s="230" t="s">
        <v>149</v>
      </c>
      <c r="C10" s="227" t="s">
        <v>110</v>
      </c>
      <c r="D10" s="227"/>
      <c r="E10" s="227" t="s">
        <v>110</v>
      </c>
      <c r="F10" s="227"/>
      <c r="G10" s="227" t="s">
        <v>110</v>
      </c>
      <c r="H10" s="227"/>
      <c r="I10" s="227" t="s">
        <v>110</v>
      </c>
      <c r="J10" s="227"/>
    </row>
    <row r="11" spans="1:10" ht="102" customHeight="1" x14ac:dyDescent="0.2">
      <c r="A11" s="231">
        <v>2</v>
      </c>
      <c r="B11" s="232" t="s">
        <v>150</v>
      </c>
      <c r="C11" s="227" t="s">
        <v>110</v>
      </c>
      <c r="D11" s="227"/>
      <c r="E11" s="227" t="s">
        <v>110</v>
      </c>
      <c r="F11" s="227"/>
      <c r="G11" s="227" t="s">
        <v>110</v>
      </c>
      <c r="H11" s="227"/>
      <c r="I11" s="227" t="s">
        <v>110</v>
      </c>
      <c r="J11" s="227"/>
    </row>
    <row r="12" spans="1:10" ht="60" customHeight="1" x14ac:dyDescent="0.2">
      <c r="A12" s="229">
        <v>3</v>
      </c>
      <c r="B12" s="232" t="s">
        <v>194</v>
      </c>
      <c r="C12" s="227" t="s">
        <v>110</v>
      </c>
      <c r="D12" s="227"/>
      <c r="E12" s="227" t="s">
        <v>195</v>
      </c>
      <c r="F12" s="227"/>
      <c r="G12" s="227" t="s">
        <v>110</v>
      </c>
      <c r="H12" s="227"/>
      <c r="I12" s="227" t="s">
        <v>110</v>
      </c>
      <c r="J12" s="227"/>
    </row>
    <row r="13" spans="1:10" ht="77.25" customHeight="1" x14ac:dyDescent="0.2">
      <c r="A13" s="229">
        <v>4</v>
      </c>
      <c r="B13" s="232" t="s">
        <v>196</v>
      </c>
      <c r="C13" s="227" t="s">
        <v>110</v>
      </c>
      <c r="D13" s="227"/>
      <c r="E13" s="227" t="s">
        <v>195</v>
      </c>
      <c r="F13" s="227"/>
      <c r="G13" s="227" t="s">
        <v>110</v>
      </c>
      <c r="H13" s="227"/>
      <c r="I13" s="227" t="s">
        <v>110</v>
      </c>
      <c r="J13" s="227"/>
    </row>
    <row r="14" spans="1:10" ht="67.5" customHeight="1" x14ac:dyDescent="0.2">
      <c r="A14" s="231">
        <v>5</v>
      </c>
      <c r="B14" s="232" t="s">
        <v>197</v>
      </c>
      <c r="C14" s="227" t="s">
        <v>110</v>
      </c>
      <c r="D14" s="233"/>
      <c r="E14" s="233" t="s">
        <v>195</v>
      </c>
      <c r="F14" s="233"/>
      <c r="G14" s="233" t="s">
        <v>110</v>
      </c>
      <c r="H14" s="233"/>
      <c r="I14" s="233" t="s">
        <v>110</v>
      </c>
      <c r="J14" s="233"/>
    </row>
    <row r="15" spans="1:10" ht="56.25" customHeight="1" x14ac:dyDescent="0.2">
      <c r="A15" s="229">
        <v>6</v>
      </c>
      <c r="B15" s="234" t="s">
        <v>198</v>
      </c>
      <c r="C15" s="227" t="s">
        <v>110</v>
      </c>
      <c r="D15" s="227"/>
      <c r="E15" s="227" t="s">
        <v>195</v>
      </c>
      <c r="F15" s="227"/>
      <c r="G15" s="227" t="s">
        <v>110</v>
      </c>
      <c r="H15" s="227"/>
      <c r="I15" s="227" t="s">
        <v>110</v>
      </c>
      <c r="J15" s="227"/>
    </row>
    <row r="16" spans="1:10" ht="109.5" customHeight="1" x14ac:dyDescent="0.2">
      <c r="A16" s="229">
        <v>7</v>
      </c>
      <c r="B16" s="232" t="s">
        <v>199</v>
      </c>
      <c r="C16" s="227" t="s">
        <v>110</v>
      </c>
      <c r="D16" s="227"/>
      <c r="E16" s="227" t="s">
        <v>110</v>
      </c>
      <c r="F16" s="227"/>
      <c r="G16" s="227" t="s">
        <v>110</v>
      </c>
      <c r="H16" s="227"/>
      <c r="I16" s="227" t="s">
        <v>110</v>
      </c>
      <c r="J16" s="227"/>
    </row>
    <row r="17" spans="1:10" ht="60" customHeight="1" x14ac:dyDescent="0.2">
      <c r="A17" s="231">
        <v>8</v>
      </c>
      <c r="B17" s="232" t="s">
        <v>200</v>
      </c>
      <c r="C17" s="227" t="s">
        <v>110</v>
      </c>
      <c r="D17" s="227"/>
      <c r="E17" s="227" t="s">
        <v>195</v>
      </c>
      <c r="F17" s="227"/>
      <c r="G17" s="227" t="s">
        <v>110</v>
      </c>
      <c r="H17" s="227"/>
      <c r="I17" s="227" t="s">
        <v>110</v>
      </c>
      <c r="J17" s="227"/>
    </row>
    <row r="18" spans="1:10" ht="91.5" customHeight="1" x14ac:dyDescent="0.2">
      <c r="A18" s="229">
        <v>9</v>
      </c>
      <c r="B18" s="234" t="s">
        <v>201</v>
      </c>
      <c r="C18" s="227" t="s">
        <v>110</v>
      </c>
      <c r="D18" s="227"/>
      <c r="E18" s="227" t="s">
        <v>195</v>
      </c>
      <c r="F18" s="227"/>
      <c r="G18" s="227" t="s">
        <v>110</v>
      </c>
      <c r="H18" s="227"/>
      <c r="I18" s="227" t="s">
        <v>110</v>
      </c>
      <c r="J18" s="227"/>
    </row>
    <row r="19" spans="1:10" ht="60" customHeight="1" x14ac:dyDescent="0.2">
      <c r="A19" s="229">
        <v>10</v>
      </c>
      <c r="B19" s="232" t="s">
        <v>202</v>
      </c>
      <c r="C19" s="227" t="s">
        <v>110</v>
      </c>
      <c r="D19" s="227"/>
      <c r="E19" s="227" t="s">
        <v>110</v>
      </c>
      <c r="F19" s="227"/>
      <c r="G19" s="227" t="s">
        <v>110</v>
      </c>
      <c r="H19" s="227"/>
      <c r="I19" s="227" t="s">
        <v>110</v>
      </c>
      <c r="J19" s="227"/>
    </row>
    <row r="20" spans="1:10" ht="60" customHeight="1" x14ac:dyDescent="0.2">
      <c r="A20" s="231">
        <v>11</v>
      </c>
      <c r="B20" s="232" t="s">
        <v>203</v>
      </c>
      <c r="C20" s="227" t="s">
        <v>110</v>
      </c>
      <c r="D20" s="227"/>
      <c r="E20" s="227" t="s">
        <v>110</v>
      </c>
      <c r="F20" s="227"/>
      <c r="G20" s="227" t="s">
        <v>110</v>
      </c>
      <c r="H20" s="227"/>
      <c r="I20" s="227" t="s">
        <v>110</v>
      </c>
      <c r="J20" s="227"/>
    </row>
    <row r="21" spans="1:10" ht="60" customHeight="1" x14ac:dyDescent="0.2">
      <c r="A21" s="229">
        <v>12</v>
      </c>
      <c r="B21" s="232" t="s">
        <v>204</v>
      </c>
      <c r="C21" s="227" t="s">
        <v>110</v>
      </c>
      <c r="D21" s="235"/>
      <c r="E21" s="227" t="s">
        <v>110</v>
      </c>
      <c r="F21" s="235"/>
      <c r="G21" s="227" t="s">
        <v>110</v>
      </c>
      <c r="H21" s="235"/>
      <c r="I21" s="227" t="s">
        <v>110</v>
      </c>
      <c r="J21" s="235"/>
    </row>
    <row r="22" spans="1:10" ht="13.5" thickBot="1" x14ac:dyDescent="0.25">
      <c r="A22" s="236"/>
      <c r="B22" s="236"/>
      <c r="C22" s="236"/>
      <c r="D22" s="236"/>
      <c r="E22" s="236"/>
      <c r="F22" s="236"/>
      <c r="G22" s="236"/>
      <c r="H22" s="236"/>
      <c r="I22" s="236"/>
      <c r="J22" s="236"/>
    </row>
    <row r="23" spans="1:10" s="237" customFormat="1" ht="19.5" customHeight="1" thickBot="1" x14ac:dyDescent="0.3">
      <c r="A23" s="295" t="s">
        <v>112</v>
      </c>
      <c r="B23" s="296"/>
      <c r="C23" s="297" t="s">
        <v>205</v>
      </c>
      <c r="D23" s="297"/>
      <c r="E23" s="297" t="s">
        <v>205</v>
      </c>
      <c r="F23" s="297"/>
      <c r="G23" s="297" t="s">
        <v>205</v>
      </c>
      <c r="H23" s="297"/>
      <c r="I23" s="297" t="s">
        <v>205</v>
      </c>
      <c r="J23" s="297"/>
    </row>
    <row r="25" spans="1:10" ht="18.75" customHeight="1" x14ac:dyDescent="0.2">
      <c r="B25" s="239"/>
      <c r="C25" s="240"/>
    </row>
    <row r="26" spans="1:10" ht="12.75" customHeight="1" x14ac:dyDescent="0.2">
      <c r="C26" s="242"/>
    </row>
    <row r="27" spans="1:10" ht="12.75" customHeight="1" x14ac:dyDescent="0.2">
      <c r="C27" s="242"/>
    </row>
    <row r="28" spans="1:10" ht="17.25" customHeight="1" x14ac:dyDescent="0.2">
      <c r="B28" s="243"/>
      <c r="C28" s="243"/>
    </row>
    <row r="29" spans="1:10" ht="15" customHeight="1" x14ac:dyDescent="0.25">
      <c r="B29" s="244" t="s">
        <v>116</v>
      </c>
      <c r="E29" s="244" t="s">
        <v>184</v>
      </c>
      <c r="I29" s="241" t="s">
        <v>151</v>
      </c>
    </row>
    <row r="30" spans="1:10" ht="14.25" customHeight="1" x14ac:dyDescent="0.25">
      <c r="B30" s="244" t="s">
        <v>117</v>
      </c>
      <c r="E30" s="244" t="s">
        <v>186</v>
      </c>
      <c r="I30" s="241" t="s">
        <v>185</v>
      </c>
    </row>
    <row r="31" spans="1:10" ht="14.25" customHeight="1" x14ac:dyDescent="0.25">
      <c r="B31" s="244" t="s">
        <v>118</v>
      </c>
      <c r="D31" s="244"/>
      <c r="E31" s="244" t="s">
        <v>118</v>
      </c>
      <c r="F31" s="244"/>
      <c r="G31" s="244"/>
      <c r="H31" s="244"/>
      <c r="I31" s="244" t="s">
        <v>187</v>
      </c>
      <c r="J31" s="244"/>
    </row>
    <row r="32" spans="1:10" ht="14.25" customHeight="1" x14ac:dyDescent="0.25">
      <c r="B32" s="245"/>
      <c r="C32" s="245"/>
      <c r="D32" s="244"/>
      <c r="E32" s="244"/>
      <c r="F32" s="244"/>
      <c r="G32" s="244"/>
      <c r="H32" s="244"/>
      <c r="I32" s="244"/>
      <c r="J32" s="244"/>
    </row>
    <row r="33" spans="1:10" ht="14.25" customHeight="1" x14ac:dyDescent="0.25">
      <c r="B33" s="245"/>
      <c r="C33" s="245"/>
      <c r="D33" s="244"/>
      <c r="E33" s="244"/>
      <c r="F33" s="244"/>
      <c r="G33" s="244"/>
      <c r="H33" s="244"/>
      <c r="I33" s="244"/>
      <c r="J33" s="244"/>
    </row>
    <row r="34" spans="1:10" ht="14.25" customHeight="1" x14ac:dyDescent="0.2">
      <c r="B34" s="243"/>
      <c r="C34" s="243"/>
      <c r="D34" s="243"/>
      <c r="E34" s="243"/>
      <c r="F34" s="243"/>
      <c r="G34" s="243"/>
      <c r="H34" s="243"/>
      <c r="I34" s="243"/>
      <c r="J34" s="243"/>
    </row>
    <row r="35" spans="1:10" ht="14.25" customHeight="1" x14ac:dyDescent="0.25">
      <c r="B35" s="245"/>
      <c r="C35" s="245"/>
      <c r="D35" s="244"/>
      <c r="E35" s="244"/>
      <c r="F35" s="244"/>
      <c r="G35" s="244"/>
      <c r="H35" s="244"/>
      <c r="I35" s="244"/>
      <c r="J35" s="244"/>
    </row>
    <row r="36" spans="1:10" ht="14.25" customHeight="1" x14ac:dyDescent="0.25">
      <c r="B36" s="245"/>
      <c r="C36" s="245"/>
      <c r="D36" s="244"/>
      <c r="E36" s="244"/>
      <c r="F36" s="244"/>
      <c r="G36" s="244"/>
      <c r="H36" s="244"/>
      <c r="I36" s="244"/>
      <c r="J36" s="244"/>
    </row>
    <row r="37" spans="1:10" ht="14.25" customHeight="1" x14ac:dyDescent="0.25">
      <c r="B37" s="245"/>
      <c r="C37" s="244"/>
      <c r="D37" s="244"/>
      <c r="E37" s="244"/>
      <c r="F37" s="244"/>
      <c r="G37" s="244"/>
      <c r="H37" s="244"/>
      <c r="I37" s="244"/>
      <c r="J37" s="244"/>
    </row>
    <row r="43" spans="1:10" s="242" customFormat="1" x14ac:dyDescent="0.25">
      <c r="A43" s="238"/>
      <c r="C43" s="241"/>
      <c r="D43" s="241"/>
      <c r="E43" s="241"/>
      <c r="F43" s="241"/>
      <c r="G43" s="241"/>
      <c r="H43" s="241"/>
      <c r="I43" s="241"/>
      <c r="J43" s="241"/>
    </row>
    <row r="44" spans="1:10" s="242" customFormat="1" x14ac:dyDescent="0.25">
      <c r="A44" s="238"/>
      <c r="C44" s="241"/>
      <c r="D44" s="241"/>
      <c r="E44" s="241"/>
      <c r="F44" s="241"/>
      <c r="G44" s="241"/>
      <c r="H44" s="241"/>
      <c r="I44" s="241"/>
      <c r="J44" s="241"/>
    </row>
    <row r="45" spans="1:10" s="242" customFormat="1" x14ac:dyDescent="0.25">
      <c r="A45" s="238"/>
      <c r="C45" s="241"/>
      <c r="D45" s="241"/>
      <c r="E45" s="241"/>
      <c r="F45" s="241"/>
      <c r="G45" s="241"/>
      <c r="H45" s="241"/>
      <c r="I45" s="241"/>
      <c r="J45" s="241"/>
    </row>
    <row r="46" spans="1:10" s="242" customFormat="1" x14ac:dyDescent="0.25">
      <c r="A46" s="238"/>
      <c r="C46" s="241"/>
      <c r="D46" s="241"/>
      <c r="E46" s="241"/>
      <c r="F46" s="241"/>
      <c r="G46" s="241"/>
      <c r="H46" s="241"/>
      <c r="I46" s="241"/>
      <c r="J46" s="241"/>
    </row>
    <row r="47" spans="1:10" s="242" customFormat="1" x14ac:dyDescent="0.25">
      <c r="A47" s="238"/>
      <c r="C47" s="241"/>
      <c r="D47" s="241"/>
      <c r="E47" s="241"/>
      <c r="F47" s="241"/>
      <c r="G47" s="241"/>
      <c r="H47" s="241"/>
      <c r="I47" s="241"/>
      <c r="J47" s="241"/>
    </row>
  </sheetData>
  <mergeCells count="21">
    <mergeCell ref="A23:B23"/>
    <mergeCell ref="C23:D23"/>
    <mergeCell ref="E23:F23"/>
    <mergeCell ref="G23:H23"/>
    <mergeCell ref="I23:J23"/>
    <mergeCell ref="B9:J9"/>
    <mergeCell ref="C1:J1"/>
    <mergeCell ref="C2:J2"/>
    <mergeCell ref="C3:J3"/>
    <mergeCell ref="C4:J4"/>
    <mergeCell ref="C5:J5"/>
    <mergeCell ref="I6:J6"/>
    <mergeCell ref="C7:D7"/>
    <mergeCell ref="E7:F7"/>
    <mergeCell ref="G7:H7"/>
    <mergeCell ref="I7:J7"/>
    <mergeCell ref="A6:A8"/>
    <mergeCell ref="B6:B7"/>
    <mergeCell ref="C6:D6"/>
    <mergeCell ref="E6:F6"/>
    <mergeCell ref="G6:H6"/>
  </mergeCells>
  <conditionalFormatting sqref="C21 I21 E21 C10:J20 G21">
    <cfRule type="cellIs" dxfId="175" priority="2" operator="equal">
      <formula>"NO"</formula>
    </cfRule>
  </conditionalFormatting>
  <conditionalFormatting sqref="C23:J23">
    <cfRule type="cellIs" dxfId="174"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2"/>
  <sheetViews>
    <sheetView view="pageBreakPreview" zoomScale="75" zoomScaleNormal="75" zoomScaleSheetLayoutView="75" zoomScalePageLayoutView="70" workbookViewId="0">
      <pane xSplit="2" ySplit="11" topLeftCell="C12" activePane="bottomRight" state="frozen"/>
      <selection pane="topRight" activeCell="C1" sqref="C1"/>
      <selection pane="bottomLeft" activeCell="A12" sqref="A12"/>
      <selection pane="bottomRight" activeCell="I10" sqref="I10:J10"/>
    </sheetView>
  </sheetViews>
  <sheetFormatPr baseColWidth="10" defaultColWidth="11.42578125" defaultRowHeight="12.75" x14ac:dyDescent="0.2"/>
  <cols>
    <col min="1" max="1" width="6" style="93" customWidth="1"/>
    <col min="2" max="2" width="55.5703125" style="94" customWidth="1"/>
    <col min="3" max="3" width="12.28515625" style="95" customWidth="1"/>
    <col min="4" max="4" width="22.140625" style="95" customWidth="1"/>
    <col min="5" max="5" width="11.7109375" style="94" customWidth="1"/>
    <col min="6" max="6" width="20.42578125" style="94" customWidth="1"/>
    <col min="7" max="7" width="11.85546875" style="94" customWidth="1"/>
    <col min="8" max="8" width="22.42578125" style="94" customWidth="1"/>
    <col min="9" max="9" width="13.28515625" style="95" customWidth="1"/>
    <col min="10" max="10" width="21.7109375" style="95" customWidth="1"/>
    <col min="11" max="16384" width="11.42578125" style="90"/>
  </cols>
  <sheetData>
    <row r="1" spans="1:10" s="85" customFormat="1" ht="17.25" customHeight="1" x14ac:dyDescent="0.25">
      <c r="A1" s="107" t="s">
        <v>125</v>
      </c>
      <c r="B1" s="84"/>
      <c r="C1" s="84"/>
      <c r="D1" s="84"/>
      <c r="E1" s="84"/>
      <c r="F1" s="84"/>
      <c r="G1" s="84"/>
      <c r="H1" s="84"/>
      <c r="I1" s="84"/>
      <c r="J1" s="84"/>
    </row>
    <row r="2" spans="1:10" s="85" customFormat="1" ht="17.25" customHeight="1" x14ac:dyDescent="0.25">
      <c r="A2" s="107" t="s">
        <v>126</v>
      </c>
      <c r="B2" s="84"/>
      <c r="C2" s="84"/>
      <c r="D2" s="84"/>
      <c r="E2" s="84"/>
      <c r="F2" s="84"/>
      <c r="G2" s="84"/>
      <c r="H2" s="84"/>
      <c r="I2" s="84"/>
      <c r="J2" s="84"/>
    </row>
    <row r="3" spans="1:10" s="85" customFormat="1" ht="8.25" customHeight="1" x14ac:dyDescent="0.25">
      <c r="A3" s="86"/>
      <c r="B3" s="86"/>
      <c r="C3" s="86"/>
      <c r="D3" s="107"/>
      <c r="E3" s="86"/>
      <c r="F3" s="86"/>
      <c r="G3" s="86"/>
      <c r="H3" s="86"/>
      <c r="I3" s="86"/>
      <c r="J3" s="107"/>
    </row>
    <row r="4" spans="1:10" s="85" customFormat="1" ht="17.25" customHeight="1" x14ac:dyDescent="0.25">
      <c r="A4" s="107" t="s">
        <v>206</v>
      </c>
      <c r="B4" s="84"/>
      <c r="C4" s="84"/>
      <c r="D4" s="84"/>
      <c r="E4" s="84"/>
      <c r="F4" s="84"/>
      <c r="G4" s="84"/>
      <c r="H4" s="84"/>
      <c r="I4" s="84"/>
      <c r="J4" s="84"/>
    </row>
    <row r="5" spans="1:10" s="85" customFormat="1" ht="16.5" customHeight="1" x14ac:dyDescent="0.25">
      <c r="A5" s="107" t="s">
        <v>127</v>
      </c>
      <c r="B5" s="84"/>
      <c r="C5" s="84"/>
      <c r="D5" s="84"/>
      <c r="E5" s="84"/>
      <c r="F5" s="84"/>
      <c r="G5" s="84"/>
      <c r="H5" s="84"/>
      <c r="I5" s="84"/>
      <c r="J5" s="84"/>
    </row>
    <row r="6" spans="1:10" s="85" customFormat="1" ht="9.75" customHeight="1" x14ac:dyDescent="0.25">
      <c r="A6" s="86"/>
      <c r="B6" s="86"/>
      <c r="C6" s="86"/>
      <c r="D6" s="107"/>
      <c r="E6" s="86"/>
      <c r="F6" s="86"/>
      <c r="G6" s="86"/>
      <c r="H6" s="86"/>
      <c r="I6" s="86"/>
      <c r="J6" s="107"/>
    </row>
    <row r="7" spans="1:10" s="108" customFormat="1" ht="71.25" customHeight="1" x14ac:dyDescent="0.25">
      <c r="A7" s="298" t="s">
        <v>207</v>
      </c>
      <c r="B7" s="298"/>
      <c r="C7" s="213"/>
      <c r="D7" s="213"/>
      <c r="E7" s="213"/>
      <c r="F7" s="213"/>
      <c r="G7" s="213"/>
      <c r="H7" s="213"/>
      <c r="I7" s="213"/>
      <c r="J7" s="213"/>
    </row>
    <row r="8" spans="1:10" ht="9.75" customHeight="1" x14ac:dyDescent="0.2">
      <c r="A8" s="109"/>
      <c r="B8" s="110"/>
      <c r="C8" s="111"/>
      <c r="D8" s="111"/>
      <c r="E8" s="110"/>
      <c r="F8" s="110"/>
      <c r="G8" s="110"/>
      <c r="H8" s="110"/>
      <c r="I8" s="111"/>
      <c r="J8" s="111"/>
    </row>
    <row r="9" spans="1:10" ht="15.75" x14ac:dyDescent="0.2">
      <c r="A9" s="200"/>
      <c r="B9" s="201"/>
      <c r="C9" s="299">
        <v>1</v>
      </c>
      <c r="D9" s="299"/>
      <c r="E9" s="299">
        <v>4</v>
      </c>
      <c r="F9" s="299"/>
      <c r="G9" s="299">
        <v>6</v>
      </c>
      <c r="H9" s="299"/>
      <c r="I9" s="299">
        <v>7</v>
      </c>
      <c r="J9" s="299"/>
    </row>
    <row r="10" spans="1:10" ht="53.25" customHeight="1" x14ac:dyDescent="0.2">
      <c r="A10" s="305" t="s">
        <v>0</v>
      </c>
      <c r="B10" s="307" t="s">
        <v>106</v>
      </c>
      <c r="C10" s="300" t="s">
        <v>208</v>
      </c>
      <c r="D10" s="300"/>
      <c r="E10" s="300" t="s">
        <v>209</v>
      </c>
      <c r="F10" s="300"/>
      <c r="G10" s="300" t="s">
        <v>192</v>
      </c>
      <c r="H10" s="300"/>
      <c r="I10" s="300" t="s">
        <v>210</v>
      </c>
      <c r="J10" s="300"/>
    </row>
    <row r="11" spans="1:10" ht="27" customHeight="1" x14ac:dyDescent="0.2">
      <c r="A11" s="306"/>
      <c r="B11" s="308"/>
      <c r="C11" s="215" t="s">
        <v>107</v>
      </c>
      <c r="D11" s="149" t="s">
        <v>108</v>
      </c>
      <c r="E11" s="215" t="s">
        <v>107</v>
      </c>
      <c r="F11" s="149" t="s">
        <v>108</v>
      </c>
      <c r="G11" s="215" t="s">
        <v>107</v>
      </c>
      <c r="H11" s="149" t="s">
        <v>108</v>
      </c>
      <c r="I11" s="215" t="s">
        <v>107</v>
      </c>
      <c r="J11" s="149" t="s">
        <v>108</v>
      </c>
    </row>
    <row r="12" spans="1:10" ht="14.45" customHeight="1" x14ac:dyDescent="0.2">
      <c r="A12" s="212">
        <v>2.2000000000000002</v>
      </c>
      <c r="B12" s="246" t="s">
        <v>128</v>
      </c>
      <c r="C12" s="112"/>
      <c r="D12" s="112"/>
      <c r="E12" s="112"/>
      <c r="F12" s="112"/>
      <c r="G12" s="112"/>
      <c r="H12" s="112"/>
      <c r="I12" s="112"/>
      <c r="J12" s="112"/>
    </row>
    <row r="13" spans="1:10" ht="28.5" customHeight="1" x14ac:dyDescent="0.2">
      <c r="A13" s="113"/>
      <c r="B13" s="247" t="s">
        <v>211</v>
      </c>
      <c r="C13" s="149" t="s">
        <v>110</v>
      </c>
      <c r="D13" s="248" t="s">
        <v>129</v>
      </c>
      <c r="E13" s="149" t="s">
        <v>110</v>
      </c>
      <c r="F13" s="248" t="s">
        <v>129</v>
      </c>
      <c r="G13" s="149" t="s">
        <v>110</v>
      </c>
      <c r="H13" s="248" t="s">
        <v>129</v>
      </c>
      <c r="I13" s="149" t="s">
        <v>110</v>
      </c>
      <c r="J13" s="248" t="s">
        <v>129</v>
      </c>
    </row>
    <row r="14" spans="1:10" ht="24.75" customHeight="1" x14ac:dyDescent="0.2">
      <c r="A14" s="113"/>
      <c r="B14" s="249" t="s">
        <v>144</v>
      </c>
      <c r="C14" s="149" t="s">
        <v>110</v>
      </c>
      <c r="D14" s="248" t="s">
        <v>129</v>
      </c>
      <c r="E14" s="149" t="s">
        <v>110</v>
      </c>
      <c r="F14" s="248" t="s">
        <v>129</v>
      </c>
      <c r="G14" s="149" t="s">
        <v>110</v>
      </c>
      <c r="H14" s="248" t="s">
        <v>129</v>
      </c>
      <c r="I14" s="149" t="s">
        <v>110</v>
      </c>
      <c r="J14" s="248" t="s">
        <v>129</v>
      </c>
    </row>
    <row r="15" spans="1:10" ht="24.75" customHeight="1" x14ac:dyDescent="0.2">
      <c r="A15" s="113"/>
      <c r="B15" s="249" t="s">
        <v>180</v>
      </c>
      <c r="C15" s="149" t="s">
        <v>110</v>
      </c>
      <c r="D15" s="248" t="s">
        <v>129</v>
      </c>
      <c r="E15" s="149" t="s">
        <v>110</v>
      </c>
      <c r="F15" s="248" t="s">
        <v>129</v>
      </c>
      <c r="G15" s="149" t="s">
        <v>110</v>
      </c>
      <c r="H15" s="248" t="s">
        <v>129</v>
      </c>
      <c r="I15" s="149" t="s">
        <v>110</v>
      </c>
      <c r="J15" s="248" t="s">
        <v>129</v>
      </c>
    </row>
    <row r="16" spans="1:10" ht="24.75" customHeight="1" x14ac:dyDescent="0.2">
      <c r="A16" s="212"/>
      <c r="B16" s="249" t="s">
        <v>181</v>
      </c>
      <c r="C16" s="149" t="s">
        <v>110</v>
      </c>
      <c r="D16" s="248" t="s">
        <v>129</v>
      </c>
      <c r="E16" s="149" t="s">
        <v>110</v>
      </c>
      <c r="F16" s="248" t="s">
        <v>129</v>
      </c>
      <c r="G16" s="149" t="s">
        <v>110</v>
      </c>
      <c r="H16" s="248" t="s">
        <v>129</v>
      </c>
      <c r="I16" s="149" t="s">
        <v>110</v>
      </c>
      <c r="J16" s="248" t="s">
        <v>129</v>
      </c>
    </row>
    <row r="17" spans="1:10" ht="24.75" customHeight="1" x14ac:dyDescent="0.2">
      <c r="A17" s="212"/>
      <c r="B17" s="249" t="s">
        <v>182</v>
      </c>
      <c r="C17" s="149" t="s">
        <v>110</v>
      </c>
      <c r="D17" s="248" t="s">
        <v>129</v>
      </c>
      <c r="E17" s="149" t="s">
        <v>110</v>
      </c>
      <c r="F17" s="248" t="s">
        <v>129</v>
      </c>
      <c r="G17" s="149" t="s">
        <v>110</v>
      </c>
      <c r="H17" s="248" t="s">
        <v>129</v>
      </c>
      <c r="I17" s="149" t="s">
        <v>110</v>
      </c>
      <c r="J17" s="248" t="s">
        <v>129</v>
      </c>
    </row>
    <row r="18" spans="1:10" ht="24.75" customHeight="1" x14ac:dyDescent="0.2">
      <c r="A18" s="212"/>
      <c r="B18" s="249" t="s">
        <v>183</v>
      </c>
      <c r="C18" s="149" t="s">
        <v>110</v>
      </c>
      <c r="D18" s="248" t="s">
        <v>129</v>
      </c>
      <c r="E18" s="149" t="s">
        <v>110</v>
      </c>
      <c r="F18" s="248" t="s">
        <v>129</v>
      </c>
      <c r="G18" s="149" t="s">
        <v>110</v>
      </c>
      <c r="H18" s="248" t="s">
        <v>129</v>
      </c>
      <c r="I18" s="149" t="s">
        <v>110</v>
      </c>
      <c r="J18" s="248" t="s">
        <v>129</v>
      </c>
    </row>
    <row r="19" spans="1:10" ht="24" customHeight="1" thickBot="1" x14ac:dyDescent="0.25">
      <c r="A19" s="114"/>
      <c r="B19" s="115"/>
      <c r="C19" s="149"/>
      <c r="D19" s="250"/>
      <c r="E19" s="149"/>
      <c r="F19" s="250"/>
      <c r="G19" s="149"/>
      <c r="H19" s="250"/>
      <c r="I19" s="149"/>
      <c r="J19" s="250"/>
    </row>
    <row r="20" spans="1:10" s="92" customFormat="1" ht="19.5" customHeight="1" thickBot="1" x14ac:dyDescent="0.3">
      <c r="A20" s="301" t="s">
        <v>112</v>
      </c>
      <c r="B20" s="302"/>
      <c r="C20" s="303" t="s">
        <v>130</v>
      </c>
      <c r="D20" s="304"/>
      <c r="E20" s="303" t="s">
        <v>130</v>
      </c>
      <c r="F20" s="304"/>
      <c r="G20" s="303" t="s">
        <v>130</v>
      </c>
      <c r="H20" s="304"/>
      <c r="I20" s="303" t="s">
        <v>130</v>
      </c>
      <c r="J20" s="304"/>
    </row>
    <row r="22" spans="1:10" ht="25.5" customHeight="1" x14ac:dyDescent="0.2">
      <c r="B22" s="87" t="s">
        <v>113</v>
      </c>
      <c r="C22" s="116"/>
      <c r="D22" s="116"/>
      <c r="E22" s="116"/>
      <c r="F22" s="116"/>
      <c r="G22" s="116"/>
      <c r="H22" s="116"/>
      <c r="I22" s="116"/>
      <c r="J22" s="116"/>
    </row>
    <row r="23" spans="1:10" ht="25.5" customHeight="1" x14ac:dyDescent="0.2">
      <c r="B23" s="87"/>
      <c r="C23" s="116"/>
      <c r="D23" s="116"/>
      <c r="E23" s="116"/>
      <c r="F23" s="116"/>
      <c r="G23" s="116"/>
      <c r="H23" s="116"/>
      <c r="I23" s="116"/>
      <c r="J23" s="116"/>
    </row>
    <row r="24" spans="1:10" ht="18.75" customHeight="1" x14ac:dyDescent="0.2">
      <c r="E24" s="117"/>
      <c r="G24" s="117"/>
    </row>
    <row r="25" spans="1:10" ht="15.75" x14ac:dyDescent="0.2">
      <c r="C25" s="96"/>
      <c r="I25" s="96"/>
    </row>
    <row r="26" spans="1:10" ht="15.75" x14ac:dyDescent="0.2">
      <c r="B26" s="97" t="s">
        <v>131</v>
      </c>
      <c r="C26" s="96"/>
      <c r="I26" s="96"/>
    </row>
    <row r="27" spans="1:10" ht="15.75" x14ac:dyDescent="0.25">
      <c r="B27" s="98" t="s">
        <v>115</v>
      </c>
      <c r="C27" s="96"/>
      <c r="I27" s="96"/>
    </row>
    <row r="28" spans="1:10" ht="13.5" customHeight="1" x14ac:dyDescent="0.2">
      <c r="C28" s="94"/>
      <c r="I28" s="94"/>
    </row>
    <row r="29" spans="1:10" ht="13.5" customHeight="1" x14ac:dyDescent="0.2">
      <c r="C29" s="94"/>
      <c r="I29" s="94"/>
    </row>
    <row r="30" spans="1:10" ht="13.5" customHeight="1" x14ac:dyDescent="0.2">
      <c r="C30" s="94"/>
      <c r="I30" s="94"/>
    </row>
    <row r="31" spans="1:10" ht="13.5" customHeight="1" x14ac:dyDescent="0.2">
      <c r="C31" s="94"/>
      <c r="I31" s="94"/>
    </row>
    <row r="32" spans="1:10" ht="13.5" customHeight="1" x14ac:dyDescent="0.2">
      <c r="B32" s="97"/>
      <c r="C32" s="94"/>
      <c r="I32" s="94"/>
    </row>
    <row r="33" spans="1:10" ht="13.5" customHeight="1" x14ac:dyDescent="0.25">
      <c r="B33" s="98"/>
      <c r="C33" s="94"/>
      <c r="I33" s="94"/>
    </row>
    <row r="34" spans="1:10" ht="15.75" x14ac:dyDescent="0.25">
      <c r="B34" s="98"/>
      <c r="F34" s="90"/>
      <c r="H34" s="90"/>
    </row>
    <row r="35" spans="1:10" x14ac:dyDescent="0.2">
      <c r="F35" s="90"/>
      <c r="H35" s="90"/>
    </row>
    <row r="36" spans="1:10" s="94" customFormat="1" ht="15.75" x14ac:dyDescent="0.25">
      <c r="A36" s="93"/>
      <c r="C36" s="98"/>
      <c r="I36" s="98"/>
    </row>
    <row r="37" spans="1:10" s="94" customFormat="1" ht="15.75" x14ac:dyDescent="0.25">
      <c r="A37" s="93"/>
      <c r="B37" s="98"/>
      <c r="C37" s="95"/>
      <c r="D37" s="95"/>
      <c r="I37" s="95"/>
      <c r="J37" s="95"/>
    </row>
    <row r="38" spans="1:10" s="94" customFormat="1" ht="15.75" x14ac:dyDescent="0.25">
      <c r="A38" s="93"/>
      <c r="B38" s="98"/>
      <c r="C38" s="95"/>
      <c r="D38" s="95"/>
      <c r="I38" s="95"/>
      <c r="J38" s="95"/>
    </row>
    <row r="39" spans="1:10" s="95" customFormat="1" ht="15.75" x14ac:dyDescent="0.25">
      <c r="A39" s="93"/>
      <c r="B39" s="98"/>
      <c r="E39" s="94"/>
      <c r="F39" s="94"/>
      <c r="G39" s="94"/>
      <c r="H39" s="94"/>
    </row>
    <row r="40" spans="1:10" s="95" customFormat="1" x14ac:dyDescent="0.2">
      <c r="A40" s="93"/>
      <c r="B40" s="90"/>
      <c r="E40" s="94"/>
      <c r="F40" s="94"/>
      <c r="G40" s="94"/>
      <c r="H40" s="94"/>
    </row>
    <row r="41" spans="1:10" s="95" customFormat="1" x14ac:dyDescent="0.2">
      <c r="A41" s="93"/>
      <c r="B41" s="90"/>
      <c r="E41" s="94"/>
      <c r="F41" s="94"/>
      <c r="G41" s="94"/>
      <c r="H41" s="94"/>
    </row>
    <row r="42" spans="1:10" s="95" customFormat="1" x14ac:dyDescent="0.2">
      <c r="A42" s="93"/>
      <c r="B42" s="90"/>
      <c r="E42" s="94"/>
      <c r="F42" s="94"/>
      <c r="G42" s="94"/>
      <c r="H42" s="94"/>
    </row>
  </sheetData>
  <mergeCells count="16">
    <mergeCell ref="I10:J10"/>
    <mergeCell ref="A20:B20"/>
    <mergeCell ref="C20:D20"/>
    <mergeCell ref="E20:F20"/>
    <mergeCell ref="G20:H20"/>
    <mergeCell ref="I20:J20"/>
    <mergeCell ref="A10:A11"/>
    <mergeCell ref="B10:B11"/>
    <mergeCell ref="C10:D10"/>
    <mergeCell ref="E10:F10"/>
    <mergeCell ref="G10:H10"/>
    <mergeCell ref="A7:B7"/>
    <mergeCell ref="C9:D9"/>
    <mergeCell ref="E9:F9"/>
    <mergeCell ref="G9:H9"/>
    <mergeCell ref="I9:J9"/>
  </mergeCells>
  <conditionalFormatting sqref="C20:D20">
    <cfRule type="cellIs" dxfId="173" priority="16" operator="equal">
      <formula>"NO HABIL"</formula>
    </cfRule>
  </conditionalFormatting>
  <conditionalFormatting sqref="C13:D14 C15:C16">
    <cfRule type="cellIs" dxfId="172" priority="15" operator="equal">
      <formula>"NO"</formula>
    </cfRule>
  </conditionalFormatting>
  <conditionalFormatting sqref="C17:C18">
    <cfRule type="cellIs" dxfId="171" priority="14" operator="equal">
      <formula>"NO"</formula>
    </cfRule>
  </conditionalFormatting>
  <conditionalFormatting sqref="D15:D18">
    <cfRule type="cellIs" dxfId="170" priority="13" operator="equal">
      <formula>"NO"</formula>
    </cfRule>
  </conditionalFormatting>
  <conditionalFormatting sqref="E20:F20">
    <cfRule type="cellIs" dxfId="169" priority="12" operator="equal">
      <formula>"NO HABIL"</formula>
    </cfRule>
  </conditionalFormatting>
  <conditionalFormatting sqref="E13:F14 E15:E16">
    <cfRule type="cellIs" dxfId="168" priority="11" operator="equal">
      <formula>"NO"</formula>
    </cfRule>
  </conditionalFormatting>
  <conditionalFormatting sqref="E17:E18">
    <cfRule type="cellIs" dxfId="167" priority="10" operator="equal">
      <formula>"NO"</formula>
    </cfRule>
  </conditionalFormatting>
  <conditionalFormatting sqref="F15:F18">
    <cfRule type="cellIs" dxfId="166" priority="9" operator="equal">
      <formula>"NO"</formula>
    </cfRule>
  </conditionalFormatting>
  <conditionalFormatting sqref="G20:H20">
    <cfRule type="cellIs" dxfId="165" priority="8" operator="equal">
      <formula>"NO HABIL"</formula>
    </cfRule>
  </conditionalFormatting>
  <conditionalFormatting sqref="G13:H14 G15:G16">
    <cfRule type="cellIs" dxfId="164" priority="7" operator="equal">
      <formula>"NO"</formula>
    </cfRule>
  </conditionalFormatting>
  <conditionalFormatting sqref="G17:G18">
    <cfRule type="cellIs" dxfId="163" priority="6" operator="equal">
      <formula>"NO"</formula>
    </cfRule>
  </conditionalFormatting>
  <conditionalFormatting sqref="H15:H18">
    <cfRule type="cellIs" dxfId="162" priority="5" operator="equal">
      <formula>"NO"</formula>
    </cfRule>
  </conditionalFormatting>
  <conditionalFormatting sqref="I20:J20">
    <cfRule type="cellIs" dxfId="161" priority="4" operator="equal">
      <formula>"NO HABIL"</formula>
    </cfRule>
  </conditionalFormatting>
  <conditionalFormatting sqref="I13:J14 I15:I16">
    <cfRule type="cellIs" dxfId="160" priority="3" operator="equal">
      <formula>"NO"</formula>
    </cfRule>
  </conditionalFormatting>
  <conditionalFormatting sqref="I17:I18">
    <cfRule type="cellIs" dxfId="159" priority="2" operator="equal">
      <formula>"NO"</formula>
    </cfRule>
  </conditionalFormatting>
  <conditionalFormatting sqref="J15:J18">
    <cfRule type="cellIs" dxfId="158" priority="1" operator="equal">
      <formula>"NO"</formula>
    </cfRule>
  </conditionalFormatting>
  <pageMargins left="0.19685039370078741" right="0.19685039370078741" top="0.51181102362204722" bottom="0.51181102362204722" header="0.31496062992125984" footer="0.31496062992125984"/>
  <pageSetup scale="6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70"/>
  <sheetViews>
    <sheetView tabSelected="1" view="pageBreakPreview" topLeftCell="C24" zoomScale="80" zoomScaleNormal="80" zoomScaleSheetLayoutView="80" zoomScalePageLayoutView="70" workbookViewId="0">
      <selection activeCell="I36" sqref="I36"/>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24.42578125" style="90" customWidth="1"/>
    <col min="12" max="12" width="11.42578125" style="90"/>
    <col min="13" max="13" width="16.28515625" style="90" bestFit="1" customWidth="1"/>
    <col min="14" max="16384" width="11.42578125" style="90"/>
  </cols>
  <sheetData>
    <row r="1" spans="1:10" s="85" customFormat="1" ht="17.25" customHeight="1" x14ac:dyDescent="0.25">
      <c r="A1" s="84" t="s">
        <v>103</v>
      </c>
      <c r="B1" s="84"/>
      <c r="C1" s="84"/>
      <c r="D1" s="84"/>
      <c r="E1" s="84"/>
      <c r="F1" s="84"/>
      <c r="G1" s="84"/>
      <c r="H1" s="84"/>
      <c r="I1" s="84"/>
      <c r="J1" s="84"/>
    </row>
    <row r="2" spans="1:10" s="85" customFormat="1" ht="17.25" customHeight="1" x14ac:dyDescent="0.25">
      <c r="A2" s="84" t="s">
        <v>104</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206</v>
      </c>
      <c r="B4" s="84"/>
      <c r="C4" s="84"/>
      <c r="D4" s="84"/>
      <c r="E4" s="84"/>
      <c r="F4" s="84"/>
      <c r="G4" s="84"/>
      <c r="H4" s="84"/>
      <c r="I4" s="84"/>
      <c r="J4" s="84"/>
    </row>
    <row r="5" spans="1:10" s="85" customFormat="1" ht="16.5" customHeight="1" x14ac:dyDescent="0.25">
      <c r="A5" s="84" t="s">
        <v>121</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63.75" customHeight="1" x14ac:dyDescent="0.25">
      <c r="A7" s="314" t="s">
        <v>189</v>
      </c>
      <c r="B7" s="314"/>
      <c r="C7" s="129"/>
      <c r="D7" s="129"/>
      <c r="E7" s="129"/>
      <c r="F7" s="129"/>
      <c r="G7" s="129"/>
      <c r="H7" s="129"/>
      <c r="I7" s="129"/>
      <c r="J7" s="129"/>
    </row>
    <row r="8" spans="1:10" s="85" customFormat="1" ht="15.75" x14ac:dyDescent="0.25">
      <c r="A8" s="88"/>
      <c r="B8" s="88"/>
      <c r="C8" s="89"/>
      <c r="D8" s="89"/>
      <c r="E8" s="89"/>
      <c r="F8" s="89"/>
      <c r="G8" s="89"/>
      <c r="H8" s="89"/>
      <c r="I8" s="89"/>
      <c r="J8" s="89"/>
    </row>
    <row r="9" spans="1:10" x14ac:dyDescent="0.2">
      <c r="A9" s="315" t="s">
        <v>0</v>
      </c>
      <c r="B9" s="315" t="s">
        <v>105</v>
      </c>
      <c r="C9" s="312">
        <v>1</v>
      </c>
      <c r="D9" s="312"/>
      <c r="E9" s="312">
        <v>4</v>
      </c>
      <c r="F9" s="312"/>
      <c r="G9" s="312">
        <v>6</v>
      </c>
      <c r="H9" s="312"/>
      <c r="I9" s="312">
        <v>7</v>
      </c>
      <c r="J9" s="312"/>
    </row>
    <row r="10" spans="1:10" ht="39.950000000000003" customHeight="1" x14ac:dyDescent="0.2">
      <c r="A10" s="316"/>
      <c r="B10" s="317"/>
      <c r="C10" s="313" t="s">
        <v>190</v>
      </c>
      <c r="D10" s="313"/>
      <c r="E10" s="313" t="s">
        <v>191</v>
      </c>
      <c r="F10" s="313"/>
      <c r="G10" s="313" t="s">
        <v>192</v>
      </c>
      <c r="H10" s="313"/>
      <c r="I10" s="313" t="s">
        <v>193</v>
      </c>
      <c r="J10" s="313"/>
    </row>
    <row r="11" spans="1:10" ht="39.950000000000003" customHeight="1" x14ac:dyDescent="0.2">
      <c r="A11" s="317"/>
      <c r="B11" s="148" t="s">
        <v>106</v>
      </c>
      <c r="C11" s="148" t="s">
        <v>107</v>
      </c>
      <c r="D11" s="149" t="s">
        <v>108</v>
      </c>
      <c r="E11" s="148" t="s">
        <v>107</v>
      </c>
      <c r="F11" s="149" t="s">
        <v>108</v>
      </c>
      <c r="G11" s="148" t="s">
        <v>107</v>
      </c>
      <c r="H11" s="149" t="s">
        <v>108</v>
      </c>
      <c r="I11" s="148" t="s">
        <v>107</v>
      </c>
      <c r="J11" s="149" t="s">
        <v>108</v>
      </c>
    </row>
    <row r="12" spans="1:10" ht="24.95" customHeight="1" x14ac:dyDescent="0.2">
      <c r="A12" s="128" t="s">
        <v>123</v>
      </c>
      <c r="B12" s="150" t="s">
        <v>109</v>
      </c>
      <c r="C12" s="151"/>
      <c r="D12" s="151"/>
      <c r="E12" s="151"/>
      <c r="F12" s="151"/>
      <c r="G12" s="151"/>
      <c r="H12" s="151"/>
      <c r="I12" s="151"/>
      <c r="J12" s="151"/>
    </row>
    <row r="13" spans="1:10" ht="409.6" customHeight="1" x14ac:dyDescent="0.2">
      <c r="A13" s="309" t="s">
        <v>124</v>
      </c>
      <c r="B13" s="152" t="s">
        <v>212</v>
      </c>
      <c r="C13" s="126" t="str">
        <f ca="1">+C15</f>
        <v>SI</v>
      </c>
      <c r="D13" s="153" t="s">
        <v>219</v>
      </c>
      <c r="E13" s="126" t="str">
        <f ca="1">+E15</f>
        <v>SI</v>
      </c>
      <c r="F13" s="153" t="s">
        <v>238</v>
      </c>
      <c r="G13" s="126" t="str">
        <f ca="1">+G15</f>
        <v>NO</v>
      </c>
      <c r="H13" s="149" t="s">
        <v>401</v>
      </c>
      <c r="I13" s="126" t="str">
        <f ca="1">+I15</f>
        <v>SI</v>
      </c>
      <c r="J13" s="153" t="s">
        <v>244</v>
      </c>
    </row>
    <row r="14" spans="1:10" ht="90.75" customHeight="1" x14ac:dyDescent="0.2">
      <c r="A14" s="310"/>
      <c r="B14" s="152" t="s">
        <v>213</v>
      </c>
      <c r="C14" s="126" t="s">
        <v>110</v>
      </c>
      <c r="D14" s="153" t="s">
        <v>111</v>
      </c>
      <c r="E14" s="126" t="s">
        <v>110</v>
      </c>
      <c r="F14" s="153" t="s">
        <v>111</v>
      </c>
      <c r="G14" s="126" t="s">
        <v>152</v>
      </c>
      <c r="H14" s="153" t="s">
        <v>111</v>
      </c>
      <c r="I14" s="126" t="s">
        <v>110</v>
      </c>
      <c r="J14" s="153" t="s">
        <v>111</v>
      </c>
    </row>
    <row r="15" spans="1:10" s="85" customFormat="1" ht="48.75" customHeight="1" x14ac:dyDescent="0.25">
      <c r="A15" s="310"/>
      <c r="B15" s="154" t="s">
        <v>214</v>
      </c>
      <c r="C15" s="126" t="str">
        <f ca="1">+IF(D15&gt;=VTE!$D$6,"SI","NO")</f>
        <v>SI</v>
      </c>
      <c r="D15" s="155">
        <f ca="1">+VTE!G6</f>
        <v>190187794</v>
      </c>
      <c r="E15" s="126" t="str">
        <f ca="1">+IF(F15&gt;=VTE!$D$6,"SI","NO")</f>
        <v>SI</v>
      </c>
      <c r="F15" s="156">
        <f ca="1">+VTE!K6</f>
        <v>861591864</v>
      </c>
      <c r="G15" s="126" t="str">
        <f ca="1">+IF(H15&gt;=VTE!$D$6,"SI","NO")</f>
        <v>NO</v>
      </c>
      <c r="H15" s="156">
        <f ca="1">+VTE!O6</f>
        <v>0</v>
      </c>
      <c r="I15" s="126" t="str">
        <f ca="1">+IF(J15&gt;=VTE!$D$6,"SI","NO")</f>
        <v>SI</v>
      </c>
      <c r="J15" s="156">
        <f ca="1">+VTE!S6</f>
        <v>651264897</v>
      </c>
    </row>
    <row r="16" spans="1:10" s="85" customFormat="1" ht="69.75" customHeight="1" x14ac:dyDescent="0.25">
      <c r="A16" s="311"/>
      <c r="B16" s="157" t="s">
        <v>179</v>
      </c>
      <c r="C16" s="158" t="s">
        <v>110</v>
      </c>
      <c r="D16" s="158" t="s">
        <v>111</v>
      </c>
      <c r="E16" s="158" t="s">
        <v>111</v>
      </c>
      <c r="F16" s="158" t="s">
        <v>111</v>
      </c>
      <c r="G16" s="158" t="s">
        <v>111</v>
      </c>
      <c r="H16" s="158" t="s">
        <v>111</v>
      </c>
      <c r="I16" s="158" t="s">
        <v>110</v>
      </c>
      <c r="J16" s="158" t="s">
        <v>111</v>
      </c>
    </row>
    <row r="17" spans="1:12" ht="24.95" customHeight="1" x14ac:dyDescent="0.2">
      <c r="A17" s="128" t="s">
        <v>157</v>
      </c>
      <c r="B17" s="159" t="s">
        <v>158</v>
      </c>
      <c r="C17" s="160"/>
      <c r="D17" s="160"/>
      <c r="E17" s="160"/>
      <c r="F17" s="160"/>
      <c r="G17" s="160"/>
      <c r="H17" s="160"/>
      <c r="I17" s="160"/>
      <c r="J17" s="160"/>
    </row>
    <row r="18" spans="1:12" ht="81.75" customHeight="1" x14ac:dyDescent="0.2">
      <c r="A18" s="309"/>
      <c r="B18" s="152" t="s">
        <v>220</v>
      </c>
      <c r="C18" s="126" t="s">
        <v>110</v>
      </c>
      <c r="D18" s="126" t="s">
        <v>224</v>
      </c>
      <c r="E18" s="126" t="s">
        <v>110</v>
      </c>
      <c r="F18" s="126" t="s">
        <v>233</v>
      </c>
      <c r="G18" s="126" t="s">
        <v>110</v>
      </c>
      <c r="H18" s="126" t="s">
        <v>239</v>
      </c>
      <c r="I18" s="126" t="s">
        <v>110</v>
      </c>
      <c r="J18" s="126" t="s">
        <v>245</v>
      </c>
    </row>
    <row r="19" spans="1:12" ht="158.25" customHeight="1" x14ac:dyDescent="0.2">
      <c r="A19" s="310"/>
      <c r="B19" s="152" t="s">
        <v>221</v>
      </c>
      <c r="C19" s="126" t="s">
        <v>110</v>
      </c>
      <c r="D19" s="126" t="s">
        <v>225</v>
      </c>
      <c r="E19" s="126" t="s">
        <v>110</v>
      </c>
      <c r="F19" s="126" t="s">
        <v>234</v>
      </c>
      <c r="G19" s="126" t="s">
        <v>110</v>
      </c>
      <c r="H19" s="126" t="s">
        <v>240</v>
      </c>
      <c r="I19" s="126" t="s">
        <v>110</v>
      </c>
      <c r="J19" s="126" t="s">
        <v>246</v>
      </c>
    </row>
    <row r="20" spans="1:12" ht="100.5" customHeight="1" x14ac:dyDescent="0.2">
      <c r="A20" s="311"/>
      <c r="B20" s="152" t="s">
        <v>222</v>
      </c>
      <c r="C20" s="126" t="s">
        <v>110</v>
      </c>
      <c r="D20" s="126" t="s">
        <v>226</v>
      </c>
      <c r="E20" s="126" t="s">
        <v>110</v>
      </c>
      <c r="F20" s="126" t="s">
        <v>235</v>
      </c>
      <c r="G20" s="126" t="s">
        <v>110</v>
      </c>
      <c r="H20" s="126" t="s">
        <v>241</v>
      </c>
      <c r="I20" s="126" t="s">
        <v>110</v>
      </c>
      <c r="J20" s="126" t="s">
        <v>247</v>
      </c>
    </row>
    <row r="21" spans="1:12" ht="100.5" customHeight="1" x14ac:dyDescent="0.2">
      <c r="A21" s="161"/>
      <c r="B21" s="152" t="s">
        <v>223</v>
      </c>
      <c r="C21" s="126" t="s">
        <v>110</v>
      </c>
      <c r="D21" s="126" t="s">
        <v>230</v>
      </c>
      <c r="E21" s="126" t="s">
        <v>110</v>
      </c>
      <c r="F21" s="126" t="s">
        <v>236</v>
      </c>
      <c r="G21" s="126" t="s">
        <v>110</v>
      </c>
      <c r="H21" s="126" t="s">
        <v>252</v>
      </c>
      <c r="I21" s="126" t="s">
        <v>110</v>
      </c>
      <c r="J21" s="126" t="s">
        <v>253</v>
      </c>
    </row>
    <row r="22" spans="1:12" ht="24.95" customHeight="1" x14ac:dyDescent="0.2">
      <c r="A22" s="128" t="s">
        <v>159</v>
      </c>
      <c r="B22" s="159" t="s">
        <v>160</v>
      </c>
      <c r="C22" s="160"/>
      <c r="D22" s="160"/>
      <c r="E22" s="160"/>
      <c r="F22" s="160"/>
      <c r="G22" s="160"/>
      <c r="H22" s="160"/>
      <c r="I22" s="160"/>
      <c r="J22" s="160"/>
    </row>
    <row r="23" spans="1:12" ht="48.75" customHeight="1" x14ac:dyDescent="0.2">
      <c r="A23" s="148"/>
      <c r="B23" s="162" t="s">
        <v>161</v>
      </c>
      <c r="C23" s="126" t="s">
        <v>110</v>
      </c>
      <c r="D23" s="127">
        <f>+'CORREC. ARITM.'!H116</f>
        <v>143375843</v>
      </c>
      <c r="E23" s="126" t="s">
        <v>110</v>
      </c>
      <c r="F23" s="127">
        <f>+'CORREC. ARITM.'!K116</f>
        <v>143070217</v>
      </c>
      <c r="G23" s="126" t="s">
        <v>110</v>
      </c>
      <c r="H23" s="127">
        <f>+'CORREC. ARITM.'!N116</f>
        <v>142636100</v>
      </c>
      <c r="I23" s="126" t="s">
        <v>110</v>
      </c>
      <c r="J23" s="127">
        <f>+'CORREC. ARITM.'!Q116</f>
        <v>143446592</v>
      </c>
    </row>
    <row r="24" spans="1:12" ht="13.5" thickBot="1" x14ac:dyDescent="0.25">
      <c r="A24" s="91"/>
      <c r="B24" s="91"/>
      <c r="C24" s="91"/>
      <c r="D24" s="91"/>
      <c r="E24" s="91"/>
      <c r="F24" s="91"/>
      <c r="G24" s="91"/>
      <c r="H24" s="91"/>
      <c r="I24" s="91"/>
      <c r="J24" s="91"/>
    </row>
    <row r="25" spans="1:12" s="92" customFormat="1" ht="19.5" customHeight="1" thickBot="1" x14ac:dyDescent="0.3">
      <c r="A25" s="301" t="s">
        <v>112</v>
      </c>
      <c r="B25" s="302"/>
      <c r="C25" s="303" t="s">
        <v>130</v>
      </c>
      <c r="D25" s="304"/>
      <c r="E25" s="303" t="s">
        <v>130</v>
      </c>
      <c r="F25" s="304"/>
      <c r="G25" s="303" t="s">
        <v>162</v>
      </c>
      <c r="H25" s="304"/>
      <c r="I25" s="303" t="s">
        <v>130</v>
      </c>
      <c r="J25" s="304"/>
    </row>
    <row r="26" spans="1:12" x14ac:dyDescent="0.2">
      <c r="D26" s="94"/>
      <c r="K26" s="94"/>
      <c r="L26" s="94"/>
    </row>
    <row r="27" spans="1:12" s="98" customFormat="1" ht="15.75" x14ac:dyDescent="0.25">
      <c r="A27" s="163"/>
      <c r="B27" s="164" t="s">
        <v>163</v>
      </c>
      <c r="C27" s="92"/>
      <c r="D27" s="165">
        <f>+D23</f>
        <v>143375843</v>
      </c>
      <c r="E27" s="163"/>
      <c r="F27" s="165">
        <f>+F23</f>
        <v>143070217</v>
      </c>
      <c r="G27" s="163"/>
      <c r="H27" s="165"/>
      <c r="I27" s="163"/>
      <c r="J27" s="165">
        <f>+J23</f>
        <v>143446592</v>
      </c>
      <c r="K27" s="165">
        <f>+MAX(C27:J27)</f>
        <v>143446592</v>
      </c>
      <c r="L27" s="165"/>
    </row>
    <row r="28" spans="1:12" s="98" customFormat="1" ht="15.75" x14ac:dyDescent="0.25">
      <c r="A28" s="163"/>
      <c r="B28" s="164" t="s">
        <v>164</v>
      </c>
      <c r="C28" s="92"/>
      <c r="D28" s="167">
        <f>+ROUND(IF(D27&lt;=VLOOKUP($B$45,formula,2,FALSE),800*(1-((VLOOKUP($B$45,formula,2,FALSE)-D27)/VLOOKUP($B$45,formula,2,FALSE))),800*(1-2*(ABS(VLOOKUP($B$45,formula,2,FALSE)-D27)/VLOOKUP($B$45,formula,2,FALSE)))),3)</f>
        <v>799.95799999999997</v>
      </c>
      <c r="E28" s="163"/>
      <c r="F28" s="167">
        <f>+ROUND(IF(F27&lt;=VLOOKUP($B$45,formula,2,FALSE),800*(1-((VLOOKUP($B$45,formula,2,FALSE)-F27)/VLOOKUP($B$45,formula,2,FALSE))),800*(1-2*(ABS(VLOOKUP($B$45,formula,2,FALSE)-F27)/VLOOKUP($B$45,formula,2,FALSE)))),3)</f>
        <v>798.31600000000003</v>
      </c>
      <c r="G28" s="163"/>
      <c r="H28" s="167"/>
      <c r="I28" s="163"/>
      <c r="J28" s="167">
        <f>+ROUND(IF(J27&lt;=VLOOKUP($B$45,formula,2,FALSE),800*(1-((VLOOKUP($B$45,formula,2,FALSE)-J27)/VLOOKUP($B$45,formula,2,FALSE))),800*(1-2*(ABS(VLOOKUP($B$45,formula,2,FALSE)-J27)/VLOOKUP($B$45,formula,2,FALSE)))),3)</f>
        <v>799.16800000000001</v>
      </c>
      <c r="K28" s="163"/>
      <c r="L28" s="167"/>
    </row>
    <row r="29" spans="1:12" s="98" customFormat="1" ht="15.75" x14ac:dyDescent="0.25">
      <c r="A29" s="163"/>
      <c r="B29" s="164" t="s">
        <v>399</v>
      </c>
      <c r="C29" s="92"/>
      <c r="D29" s="163">
        <v>100</v>
      </c>
      <c r="E29" s="163"/>
      <c r="F29" s="163">
        <v>200</v>
      </c>
      <c r="G29" s="163"/>
      <c r="H29" s="163"/>
      <c r="I29" s="163"/>
      <c r="J29" s="163">
        <v>200</v>
      </c>
      <c r="K29" s="163"/>
      <c r="L29" s="163"/>
    </row>
    <row r="30" spans="1:12" s="98" customFormat="1" ht="15.75" x14ac:dyDescent="0.25">
      <c r="A30" s="163"/>
      <c r="B30" s="164" t="s">
        <v>165</v>
      </c>
      <c r="C30" s="92"/>
      <c r="D30" s="168">
        <f>SUM(D28:D29)</f>
        <v>899.95799999999997</v>
      </c>
      <c r="E30" s="163"/>
      <c r="F30" s="168">
        <f>SUM(F28:F29)</f>
        <v>998.31600000000003</v>
      </c>
      <c r="G30" s="163"/>
      <c r="H30" s="168"/>
      <c r="I30" s="163"/>
      <c r="J30" s="168">
        <f>SUM(J28:J29)</f>
        <v>999.16800000000001</v>
      </c>
      <c r="K30" s="163"/>
      <c r="L30" s="168"/>
    </row>
    <row r="31" spans="1:12" s="98" customFormat="1" ht="18" x14ac:dyDescent="0.25">
      <c r="A31" s="163"/>
      <c r="B31" s="164" t="s">
        <v>166</v>
      </c>
      <c r="C31" s="169"/>
      <c r="D31" s="170"/>
      <c r="E31" s="170"/>
      <c r="F31" s="170"/>
      <c r="G31" s="170"/>
      <c r="H31" s="170"/>
      <c r="I31" s="170"/>
      <c r="J31" s="170"/>
      <c r="K31" s="170"/>
      <c r="L31" s="170"/>
    </row>
    <row r="32" spans="1:12" s="98" customFormat="1" ht="15.75" x14ac:dyDescent="0.25">
      <c r="A32" s="163"/>
      <c r="B32" s="164"/>
      <c r="C32" s="96"/>
      <c r="D32" s="171"/>
      <c r="E32" s="172"/>
      <c r="F32" s="171"/>
      <c r="G32" s="172"/>
      <c r="H32" s="171"/>
      <c r="I32" s="172"/>
      <c r="J32" s="171"/>
      <c r="K32" s="172"/>
      <c r="L32" s="172"/>
    </row>
    <row r="33" spans="1:22" s="98" customFormat="1" ht="18" x14ac:dyDescent="0.25">
      <c r="A33" s="125" t="s">
        <v>167</v>
      </c>
      <c r="B33" s="276">
        <v>144091054</v>
      </c>
      <c r="C33" s="96"/>
      <c r="D33" s="96"/>
      <c r="E33" s="172"/>
      <c r="F33" s="172"/>
      <c r="G33" s="172"/>
      <c r="H33" s="172"/>
      <c r="I33" s="172"/>
      <c r="J33" s="172"/>
      <c r="K33" s="163"/>
      <c r="L33" s="163"/>
      <c r="P33" s="99"/>
      <c r="V33" s="99"/>
    </row>
    <row r="34" spans="1:22" s="98" customFormat="1" ht="15.75" x14ac:dyDescent="0.25">
      <c r="A34" s="173"/>
      <c r="B34" s="174"/>
      <c r="C34" s="96"/>
      <c r="D34" s="96"/>
      <c r="E34" s="172"/>
      <c r="F34" s="172"/>
      <c r="G34" s="172"/>
      <c r="H34" s="172"/>
      <c r="I34" s="172"/>
      <c r="J34" s="172"/>
      <c r="K34" s="163"/>
      <c r="L34" s="163"/>
    </row>
    <row r="35" spans="1:22" s="98" customFormat="1" ht="15.75" x14ac:dyDescent="0.25">
      <c r="A35" s="125" t="s">
        <v>168</v>
      </c>
      <c r="B35" s="175" t="s">
        <v>169</v>
      </c>
      <c r="C35" s="96"/>
      <c r="D35" s="166"/>
      <c r="E35" s="172"/>
      <c r="F35" s="172"/>
      <c r="G35" s="172"/>
      <c r="H35" s="172"/>
      <c r="I35" s="172"/>
      <c r="J35" s="172"/>
      <c r="K35" s="163"/>
      <c r="L35" s="163"/>
    </row>
    <row r="36" spans="1:22" s="98" customFormat="1" ht="18" x14ac:dyDescent="0.25">
      <c r="A36" s="176">
        <v>1</v>
      </c>
      <c r="B36" s="177">
        <f>+AVERAGE(D27:J27)</f>
        <v>143297550.66666666</v>
      </c>
      <c r="C36" s="96"/>
      <c r="D36" s="96"/>
      <c r="E36" s="172"/>
      <c r="F36" s="172"/>
      <c r="G36" s="172"/>
      <c r="H36" s="172"/>
      <c r="I36" s="172"/>
      <c r="J36" s="172"/>
      <c r="K36" s="163"/>
      <c r="L36" s="163"/>
    </row>
    <row r="37" spans="1:22" s="98" customFormat="1" ht="18" x14ac:dyDescent="0.25">
      <c r="A37" s="176">
        <v>2</v>
      </c>
      <c r="B37" s="177">
        <f>+(B36+K27)/2</f>
        <v>143372071.33333331</v>
      </c>
      <c r="C37" s="96"/>
      <c r="D37" s="96"/>
      <c r="E37" s="172"/>
      <c r="F37" s="172"/>
      <c r="G37" s="172"/>
      <c r="H37" s="172"/>
      <c r="I37" s="172"/>
      <c r="J37" s="172"/>
      <c r="K37" s="163"/>
      <c r="L37" s="163"/>
    </row>
    <row r="38" spans="1:22" s="98" customFormat="1" ht="18" x14ac:dyDescent="0.25">
      <c r="A38" s="176">
        <v>3</v>
      </c>
      <c r="B38" s="177">
        <f>+GEOMEAN(D27:J27,B33)</f>
        <v>143495445.95504326</v>
      </c>
      <c r="C38" s="172"/>
      <c r="D38" s="96"/>
      <c r="E38" s="96"/>
      <c r="F38" s="96"/>
      <c r="G38" s="96"/>
      <c r="H38" s="96"/>
      <c r="I38" s="96"/>
      <c r="J38" s="96"/>
      <c r="K38" s="163"/>
      <c r="L38" s="163"/>
    </row>
    <row r="39" spans="1:22" s="98" customFormat="1" ht="15.75" x14ac:dyDescent="0.25">
      <c r="A39" s="96"/>
      <c r="B39" s="174"/>
      <c r="C39" s="172"/>
      <c r="D39" s="96"/>
      <c r="E39" s="96"/>
      <c r="F39" s="96"/>
      <c r="G39" s="96"/>
      <c r="H39" s="96"/>
      <c r="I39" s="96"/>
      <c r="J39" s="96"/>
      <c r="K39" s="163"/>
      <c r="L39" s="163"/>
    </row>
    <row r="40" spans="1:22" s="98" customFormat="1" ht="18" x14ac:dyDescent="0.25">
      <c r="A40" s="178" t="s">
        <v>170</v>
      </c>
      <c r="B40" s="179">
        <f>+COUNT(C27:J27)</f>
        <v>3</v>
      </c>
      <c r="C40" s="172"/>
      <c r="D40" s="96"/>
      <c r="E40" s="96"/>
      <c r="F40" s="172"/>
      <c r="G40" s="172"/>
      <c r="H40" s="172"/>
      <c r="I40" s="172"/>
      <c r="J40" s="172"/>
      <c r="K40" s="163"/>
      <c r="L40" s="163"/>
    </row>
    <row r="41" spans="1:22" s="98" customFormat="1" ht="18" x14ac:dyDescent="0.25">
      <c r="A41" s="180" t="s">
        <v>171</v>
      </c>
      <c r="B41" s="181">
        <f>+IF(AND(1&lt;=B40,B40&lt;=3),1,IF(AND(4&lt;=B40,B40&lt;=6),2,IF(AND(7&lt;=B40,B40&lt;=10),3,"NO APLICA")))</f>
        <v>1</v>
      </c>
      <c r="C41" s="172"/>
      <c r="D41" s="96"/>
      <c r="E41" s="96"/>
      <c r="F41" s="172"/>
      <c r="G41" s="172"/>
      <c r="H41" s="172"/>
      <c r="I41" s="172"/>
      <c r="J41" s="172"/>
      <c r="K41" s="163"/>
      <c r="L41" s="163"/>
    </row>
    <row r="42" spans="1:22" s="98" customFormat="1" ht="12.75" customHeight="1" x14ac:dyDescent="0.25">
      <c r="A42" s="182"/>
      <c r="B42" s="183"/>
      <c r="C42" s="172"/>
      <c r="D42" s="96"/>
      <c r="E42" s="96"/>
      <c r="F42" s="172"/>
      <c r="G42" s="172"/>
      <c r="H42" s="172"/>
      <c r="I42" s="172"/>
      <c r="J42" s="172"/>
      <c r="K42" s="163"/>
      <c r="L42" s="163"/>
    </row>
    <row r="43" spans="1:22" s="98" customFormat="1" ht="18" hidden="1" x14ac:dyDescent="0.25">
      <c r="A43" s="178" t="s">
        <v>172</v>
      </c>
      <c r="B43" s="184">
        <v>2963.58</v>
      </c>
      <c r="C43" s="172"/>
      <c r="D43" s="96"/>
      <c r="E43" s="96"/>
      <c r="F43" s="172"/>
      <c r="G43" s="172"/>
      <c r="H43" s="172"/>
      <c r="I43" s="172"/>
      <c r="J43" s="172"/>
      <c r="K43" s="163"/>
      <c r="L43" s="163"/>
    </row>
    <row r="44" spans="1:22" s="98" customFormat="1" ht="18" hidden="1" x14ac:dyDescent="0.25">
      <c r="A44" s="178" t="s">
        <v>173</v>
      </c>
      <c r="B44" s="185">
        <f>+MOD(B43,INT(B43))</f>
        <v>0.57999999999992724</v>
      </c>
      <c r="C44" s="172"/>
      <c r="D44" s="96"/>
      <c r="E44" s="96"/>
      <c r="F44" s="172"/>
      <c r="G44" s="172"/>
      <c r="H44" s="172"/>
      <c r="I44" s="172"/>
      <c r="J44" s="172"/>
      <c r="K44" s="163"/>
      <c r="L44" s="163"/>
    </row>
    <row r="45" spans="1:22" s="98" customFormat="1" ht="18" x14ac:dyDescent="0.25">
      <c r="A45" s="178" t="s">
        <v>168</v>
      </c>
      <c r="B45" s="186">
        <f>+IF(AND(0&lt;=B44,B44&lt;=0.33),1,IF(AND(0.34&lt;=B44,B44&lt;=0.66),2,IF(AND(0.67&lt;=B44,B44&lt;=0.99),3,"NO APLICA")))</f>
        <v>2</v>
      </c>
      <c r="C45" s="172"/>
      <c r="D45" s="96"/>
      <c r="E45" s="96"/>
      <c r="F45" s="172"/>
      <c r="G45" s="172"/>
      <c r="H45" s="172"/>
      <c r="I45" s="172"/>
      <c r="J45" s="172"/>
      <c r="K45" s="163"/>
      <c r="L45" s="163"/>
    </row>
    <row r="46" spans="1:22" x14ac:dyDescent="0.2">
      <c r="D46" s="94"/>
    </row>
    <row r="47" spans="1:22" ht="12.75" customHeight="1" x14ac:dyDescent="0.2">
      <c r="C47" s="94"/>
      <c r="E47" s="95"/>
      <c r="G47" s="95"/>
      <c r="I47" s="95"/>
    </row>
    <row r="48" spans="1:22" ht="12.75" customHeight="1" x14ac:dyDescent="0.2">
      <c r="B48" s="87" t="s">
        <v>113</v>
      </c>
      <c r="C48" s="94"/>
      <c r="E48" s="95"/>
      <c r="G48" s="95"/>
      <c r="I48" s="95"/>
    </row>
    <row r="49" spans="2:10" ht="12.75" customHeight="1" x14ac:dyDescent="0.2">
      <c r="C49" s="94"/>
      <c r="E49" s="95"/>
      <c r="G49" s="95"/>
      <c r="I49" s="95"/>
    </row>
    <row r="50" spans="2:10" ht="12.75" customHeight="1" x14ac:dyDescent="0.2">
      <c r="C50" s="94"/>
      <c r="E50" s="95"/>
      <c r="G50" s="95"/>
      <c r="I50" s="95"/>
    </row>
    <row r="51" spans="2:10" ht="18.75" customHeight="1" x14ac:dyDescent="0.2">
      <c r="B51" s="96"/>
      <c r="E51" s="95"/>
      <c r="G51" s="95"/>
      <c r="I51" s="95"/>
    </row>
    <row r="52" spans="2:10" ht="15.75" x14ac:dyDescent="0.2">
      <c r="B52" s="97" t="s">
        <v>114</v>
      </c>
      <c r="C52" s="94"/>
      <c r="E52" s="95"/>
      <c r="G52" s="95"/>
      <c r="I52" s="95"/>
    </row>
    <row r="53" spans="2:10" ht="15.75" x14ac:dyDescent="0.25">
      <c r="B53" s="98" t="s">
        <v>398</v>
      </c>
      <c r="C53" s="94"/>
      <c r="E53" s="95"/>
      <c r="G53" s="95"/>
      <c r="I53" s="95"/>
    </row>
    <row r="54" spans="2:10" ht="12.75" customHeight="1" x14ac:dyDescent="0.2">
      <c r="C54" s="94"/>
      <c r="E54" s="95"/>
      <c r="G54" s="95"/>
      <c r="I54" s="95"/>
    </row>
    <row r="55" spans="2:10" ht="12.75" customHeight="1" x14ac:dyDescent="0.2">
      <c r="C55" s="94"/>
      <c r="E55" s="95"/>
      <c r="G55" s="95"/>
      <c r="I55" s="95"/>
    </row>
    <row r="56" spans="2:10" ht="14.25" customHeight="1" x14ac:dyDescent="0.25">
      <c r="B56" s="98"/>
      <c r="C56" s="98"/>
      <c r="D56" s="99"/>
      <c r="E56" s="99"/>
      <c r="F56" s="98"/>
      <c r="G56" s="99"/>
      <c r="H56" s="98"/>
      <c r="I56" s="99"/>
      <c r="J56" s="98"/>
    </row>
    <row r="57" spans="2:10" ht="15.75" x14ac:dyDescent="0.2">
      <c r="B57" s="97" t="s">
        <v>116</v>
      </c>
      <c r="D57" s="97"/>
      <c r="E57" s="97"/>
      <c r="F57" s="97"/>
      <c r="G57" s="97"/>
      <c r="H57" s="97"/>
      <c r="I57" s="97"/>
      <c r="J57" s="97"/>
    </row>
    <row r="58" spans="2:10" ht="15.75" x14ac:dyDescent="0.25">
      <c r="B58" s="98" t="s">
        <v>117</v>
      </c>
      <c r="D58" s="99"/>
      <c r="E58" s="99"/>
      <c r="F58" s="98"/>
      <c r="G58" s="99"/>
      <c r="H58" s="98"/>
      <c r="I58" s="99"/>
      <c r="J58" s="98"/>
    </row>
    <row r="59" spans="2:10" ht="15.75" x14ac:dyDescent="0.25">
      <c r="B59" s="98" t="s">
        <v>118</v>
      </c>
      <c r="D59" s="99"/>
      <c r="E59" s="99"/>
      <c r="F59" s="98"/>
      <c r="G59" s="99"/>
      <c r="H59" s="98"/>
      <c r="I59" s="99"/>
      <c r="J59" s="98"/>
    </row>
    <row r="60" spans="2:10" ht="14.25" customHeight="1" x14ac:dyDescent="0.25">
      <c r="B60" s="98"/>
      <c r="C60" s="99"/>
      <c r="D60" s="99"/>
      <c r="E60" s="98"/>
      <c r="F60" s="98"/>
      <c r="G60" s="98"/>
      <c r="H60" s="98"/>
      <c r="I60" s="98"/>
      <c r="J60" s="98"/>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row r="70" spans="1:4" s="94" customFormat="1" x14ac:dyDescent="0.25">
      <c r="A70" s="93"/>
      <c r="C70" s="95"/>
      <c r="D70" s="95"/>
    </row>
  </sheetData>
  <mergeCells count="18">
    <mergeCell ref="A7:B7"/>
    <mergeCell ref="A9:A11"/>
    <mergeCell ref="B9:B10"/>
    <mergeCell ref="C9:D9"/>
    <mergeCell ref="E9:F9"/>
    <mergeCell ref="C10:D10"/>
    <mergeCell ref="E10:F10"/>
    <mergeCell ref="A13:A16"/>
    <mergeCell ref="I9:J9"/>
    <mergeCell ref="I10:J10"/>
    <mergeCell ref="I25:J25"/>
    <mergeCell ref="G9:H9"/>
    <mergeCell ref="G10:H10"/>
    <mergeCell ref="A18:A20"/>
    <mergeCell ref="A25:B25"/>
    <mergeCell ref="C25:D25"/>
    <mergeCell ref="E25:F25"/>
    <mergeCell ref="G25:H25"/>
  </mergeCells>
  <conditionalFormatting sqref="C15:F16">
    <cfRule type="cellIs" dxfId="157" priority="109" operator="equal">
      <formula>"NO"</formula>
    </cfRule>
  </conditionalFormatting>
  <conditionalFormatting sqref="C25:D25">
    <cfRule type="cellIs" dxfId="156" priority="108" operator="equal">
      <formula>"NO HABIL"</formula>
    </cfRule>
  </conditionalFormatting>
  <conditionalFormatting sqref="C13:E14">
    <cfRule type="cellIs" dxfId="155" priority="107" operator="equal">
      <formula>"NO"</formula>
    </cfRule>
  </conditionalFormatting>
  <conditionalFormatting sqref="H15">
    <cfRule type="cellIs" dxfId="154" priority="105" operator="equal">
      <formula>"NO"</formula>
    </cfRule>
  </conditionalFormatting>
  <conditionalFormatting sqref="G13">
    <cfRule type="cellIs" dxfId="153" priority="104" operator="equal">
      <formula>"NO"</formula>
    </cfRule>
  </conditionalFormatting>
  <conditionalFormatting sqref="F23 C17:H17">
    <cfRule type="cellIs" dxfId="152" priority="103" operator="equal">
      <formula>"NO"</formula>
    </cfRule>
  </conditionalFormatting>
  <conditionalFormatting sqref="C23">
    <cfRule type="cellIs" dxfId="151" priority="102" operator="equal">
      <formula>"NO"</formula>
    </cfRule>
  </conditionalFormatting>
  <conditionalFormatting sqref="H23">
    <cfRule type="cellIs" dxfId="150" priority="100" operator="equal">
      <formula>"NO"</formula>
    </cfRule>
  </conditionalFormatting>
  <conditionalFormatting sqref="C22:F22">
    <cfRule type="cellIs" dxfId="149" priority="101" operator="equal">
      <formula>"NO"</formula>
    </cfRule>
  </conditionalFormatting>
  <conditionalFormatting sqref="G22:H22">
    <cfRule type="cellIs" dxfId="148" priority="99" operator="equal">
      <formula>"NO"</formula>
    </cfRule>
  </conditionalFormatting>
  <conditionalFormatting sqref="C18:C19 G18">
    <cfRule type="cellIs" dxfId="147" priority="98" operator="equal">
      <formula>"NO"</formula>
    </cfRule>
  </conditionalFormatting>
  <conditionalFormatting sqref="C20">
    <cfRule type="cellIs" dxfId="146" priority="97" operator="equal">
      <formula>"NO"</formula>
    </cfRule>
  </conditionalFormatting>
  <conditionalFormatting sqref="D23">
    <cfRule type="cellIs" dxfId="145" priority="96" operator="equal">
      <formula>"NO"</formula>
    </cfRule>
  </conditionalFormatting>
  <conditionalFormatting sqref="E23">
    <cfRule type="cellIs" dxfId="144" priority="95" operator="equal">
      <formula>"NO"</formula>
    </cfRule>
  </conditionalFormatting>
  <conditionalFormatting sqref="G23">
    <cfRule type="cellIs" dxfId="143" priority="94" operator="equal">
      <formula>"NO"</formula>
    </cfRule>
  </conditionalFormatting>
  <conditionalFormatting sqref="C21">
    <cfRule type="cellIs" dxfId="142" priority="93" operator="equal">
      <formula>"NO"</formula>
    </cfRule>
  </conditionalFormatting>
  <conditionalFormatting sqref="J23">
    <cfRule type="cellIs" dxfId="141" priority="58" operator="equal">
      <formula>"NO"</formula>
    </cfRule>
  </conditionalFormatting>
  <conditionalFormatting sqref="I23">
    <cfRule type="cellIs" dxfId="140" priority="55" operator="equal">
      <formula>"NO"</formula>
    </cfRule>
  </conditionalFormatting>
  <conditionalFormatting sqref="I17:J17">
    <cfRule type="cellIs" dxfId="139" priority="59" operator="equal">
      <formula>"NO"</formula>
    </cfRule>
  </conditionalFormatting>
  <conditionalFormatting sqref="I22:J22">
    <cfRule type="cellIs" dxfId="138" priority="57" operator="equal">
      <formula>"NO"</formula>
    </cfRule>
  </conditionalFormatting>
  <conditionalFormatting sqref="I20">
    <cfRule type="cellIs" dxfId="137" priority="53" operator="equal">
      <formula>"NO"</formula>
    </cfRule>
  </conditionalFormatting>
  <conditionalFormatting sqref="G19">
    <cfRule type="cellIs" dxfId="136" priority="87" operator="equal">
      <formula>"NO"</formula>
    </cfRule>
  </conditionalFormatting>
  <conditionalFormatting sqref="H21">
    <cfRule type="cellIs" dxfId="135" priority="62" operator="equal">
      <formula>"NO"</formula>
    </cfRule>
  </conditionalFormatting>
  <conditionalFormatting sqref="G20">
    <cfRule type="cellIs" dxfId="134" priority="85" operator="equal">
      <formula>"NO"</formula>
    </cfRule>
  </conditionalFormatting>
  <conditionalFormatting sqref="I13">
    <cfRule type="cellIs" dxfId="133" priority="60" operator="equal">
      <formula>"NO"</formula>
    </cfRule>
  </conditionalFormatting>
  <conditionalFormatting sqref="G21">
    <cfRule type="cellIs" dxfId="132" priority="83" operator="equal">
      <formula>"NO"</formula>
    </cfRule>
  </conditionalFormatting>
  <conditionalFormatting sqref="I18">
    <cfRule type="cellIs" dxfId="131" priority="56" operator="equal">
      <formula>"NO"</formula>
    </cfRule>
  </conditionalFormatting>
  <conditionalFormatting sqref="G25:H25">
    <cfRule type="cellIs" dxfId="130" priority="81" operator="equal">
      <formula>"NO HABIL"</formula>
    </cfRule>
  </conditionalFormatting>
  <conditionalFormatting sqref="C31 K31:L31 E31:H31">
    <cfRule type="cellIs" dxfId="129" priority="80" operator="equal">
      <formula>1</formula>
    </cfRule>
  </conditionalFormatting>
  <conditionalFormatting sqref="G15">
    <cfRule type="cellIs" dxfId="128" priority="79" operator="equal">
      <formula>"NO"</formula>
    </cfRule>
  </conditionalFormatting>
  <conditionalFormatting sqref="F14">
    <cfRule type="cellIs" dxfId="127" priority="78" operator="equal">
      <formula>"NO"</formula>
    </cfRule>
  </conditionalFormatting>
  <conditionalFormatting sqref="D18">
    <cfRule type="cellIs" dxfId="126" priority="77" operator="equal">
      <formula>"NO"</formula>
    </cfRule>
  </conditionalFormatting>
  <conditionalFormatting sqref="D20">
    <cfRule type="cellIs" dxfId="125" priority="75" operator="equal">
      <formula>"NO"</formula>
    </cfRule>
  </conditionalFormatting>
  <conditionalFormatting sqref="D19">
    <cfRule type="cellIs" dxfId="124" priority="76" operator="equal">
      <formula>"NO"</formula>
    </cfRule>
  </conditionalFormatting>
  <conditionalFormatting sqref="D21">
    <cfRule type="cellIs" dxfId="123" priority="74" operator="equal">
      <formula>"NO"</formula>
    </cfRule>
  </conditionalFormatting>
  <conditionalFormatting sqref="E18:E19">
    <cfRule type="cellIs" dxfId="122" priority="73" operator="equal">
      <formula>"NO"</formula>
    </cfRule>
  </conditionalFormatting>
  <conditionalFormatting sqref="E20">
    <cfRule type="cellIs" dxfId="121" priority="72" operator="equal">
      <formula>"NO"</formula>
    </cfRule>
  </conditionalFormatting>
  <conditionalFormatting sqref="E21">
    <cfRule type="cellIs" dxfId="120" priority="71" operator="equal">
      <formula>"NO"</formula>
    </cfRule>
  </conditionalFormatting>
  <conditionalFormatting sqref="F18">
    <cfRule type="cellIs" dxfId="119" priority="70" operator="equal">
      <formula>"NO"</formula>
    </cfRule>
  </conditionalFormatting>
  <conditionalFormatting sqref="F21">
    <cfRule type="cellIs" dxfId="118" priority="67" operator="equal">
      <formula>"NO"</formula>
    </cfRule>
  </conditionalFormatting>
  <conditionalFormatting sqref="H13">
    <cfRule type="cellIs" dxfId="117" priority="66" operator="equal">
      <formula>"NO"</formula>
    </cfRule>
  </conditionalFormatting>
  <conditionalFormatting sqref="J15">
    <cfRule type="cellIs" dxfId="116" priority="61" operator="equal">
      <formula>"NO"</formula>
    </cfRule>
  </conditionalFormatting>
  <conditionalFormatting sqref="D31">
    <cfRule type="cellIs" dxfId="115" priority="42" operator="equal">
      <formula>1</formula>
    </cfRule>
  </conditionalFormatting>
  <conditionalFormatting sqref="I19">
    <cfRule type="cellIs" dxfId="114" priority="54" operator="equal">
      <formula>"NO"</formula>
    </cfRule>
  </conditionalFormatting>
  <conditionalFormatting sqref="I21">
    <cfRule type="cellIs" dxfId="113" priority="52" operator="equal">
      <formula>"NO"</formula>
    </cfRule>
  </conditionalFormatting>
  <conditionalFormatting sqref="I25:J25">
    <cfRule type="cellIs" dxfId="112" priority="51" operator="equal">
      <formula>"NO HABIL"</formula>
    </cfRule>
  </conditionalFormatting>
  <conditionalFormatting sqref="I31:J31">
    <cfRule type="cellIs" dxfId="111" priority="50" operator="equal">
      <formula>1</formula>
    </cfRule>
  </conditionalFormatting>
  <conditionalFormatting sqref="I15">
    <cfRule type="cellIs" dxfId="110" priority="49" operator="equal">
      <formula>"NO"</formula>
    </cfRule>
  </conditionalFormatting>
  <conditionalFormatting sqref="F13">
    <cfRule type="cellIs" dxfId="109" priority="19" operator="equal">
      <formula>"NO"</formula>
    </cfRule>
  </conditionalFormatting>
  <conditionalFormatting sqref="F19">
    <cfRule type="cellIs" dxfId="108" priority="18" operator="equal">
      <formula>"NO"</formula>
    </cfRule>
  </conditionalFormatting>
  <conditionalFormatting sqref="F20">
    <cfRule type="cellIs" dxfId="107" priority="17" operator="equal">
      <formula>"NO"</formula>
    </cfRule>
  </conditionalFormatting>
  <conditionalFormatting sqref="G14">
    <cfRule type="cellIs" dxfId="106" priority="16" operator="equal">
      <formula>"NO"</formula>
    </cfRule>
  </conditionalFormatting>
  <conditionalFormatting sqref="H14">
    <cfRule type="cellIs" dxfId="105" priority="15" operator="equal">
      <formula>"NO"</formula>
    </cfRule>
  </conditionalFormatting>
  <conditionalFormatting sqref="G16:H16">
    <cfRule type="cellIs" dxfId="104" priority="14" operator="equal">
      <formula>"NO"</formula>
    </cfRule>
  </conditionalFormatting>
  <conditionalFormatting sqref="H18">
    <cfRule type="cellIs" dxfId="103" priority="13" operator="equal">
      <formula>"NO"</formula>
    </cfRule>
  </conditionalFormatting>
  <conditionalFormatting sqref="H19">
    <cfRule type="cellIs" dxfId="102" priority="12" operator="equal">
      <formula>"NO"</formula>
    </cfRule>
  </conditionalFormatting>
  <conditionalFormatting sqref="H20">
    <cfRule type="cellIs" dxfId="101" priority="11" operator="equal">
      <formula>"NO"</formula>
    </cfRule>
  </conditionalFormatting>
  <conditionalFormatting sqref="J13">
    <cfRule type="cellIs" dxfId="100" priority="10" operator="equal">
      <formula>"NO"</formula>
    </cfRule>
  </conditionalFormatting>
  <conditionalFormatting sqref="I14">
    <cfRule type="cellIs" dxfId="99" priority="9" operator="equal">
      <formula>"NO"</formula>
    </cfRule>
  </conditionalFormatting>
  <conditionalFormatting sqref="J14">
    <cfRule type="cellIs" dxfId="98" priority="8" operator="equal">
      <formula>"NO"</formula>
    </cfRule>
  </conditionalFormatting>
  <conditionalFormatting sqref="I16:J16">
    <cfRule type="cellIs" dxfId="97" priority="7" operator="equal">
      <formula>"NO"</formula>
    </cfRule>
  </conditionalFormatting>
  <conditionalFormatting sqref="J18">
    <cfRule type="cellIs" dxfId="96" priority="5" operator="equal">
      <formula>"NO"</formula>
    </cfRule>
  </conditionalFormatting>
  <conditionalFormatting sqref="J19">
    <cfRule type="cellIs" dxfId="95" priority="4" operator="equal">
      <formula>"NO"</formula>
    </cfRule>
  </conditionalFormatting>
  <conditionalFormatting sqref="J20">
    <cfRule type="cellIs" dxfId="94" priority="3" operator="equal">
      <formula>"NO"</formula>
    </cfRule>
  </conditionalFormatting>
  <conditionalFormatting sqref="J21">
    <cfRule type="cellIs" dxfId="93" priority="2" operator="equal">
      <formula>"NO"</formula>
    </cfRule>
  </conditionalFormatting>
  <conditionalFormatting sqref="E25:F25">
    <cfRule type="cellIs" dxfId="92" priority="1"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topLeftCell="J13" zoomScale="90" zoomScaleNormal="90" workbookViewId="0">
      <selection activeCell="P18" sqref="P18:P24"/>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s>
  <sheetData>
    <row r="1" spans="1:20" x14ac:dyDescent="0.25">
      <c r="G1" s="49"/>
      <c r="K1" s="49"/>
      <c r="O1" s="49"/>
      <c r="S1" s="49"/>
    </row>
    <row r="2" spans="1:20" x14ac:dyDescent="0.25">
      <c r="A2" s="319" t="s">
        <v>90</v>
      </c>
      <c r="B2" s="319"/>
      <c r="C2" s="50"/>
      <c r="D2" s="51" t="s">
        <v>91</v>
      </c>
      <c r="E2" s="50"/>
      <c r="F2" s="50"/>
      <c r="G2" s="51">
        <v>1</v>
      </c>
      <c r="H2" s="50"/>
      <c r="J2" s="50"/>
      <c r="K2" s="51">
        <v>4</v>
      </c>
      <c r="L2" s="50"/>
      <c r="N2" s="50"/>
      <c r="O2" s="51">
        <v>6</v>
      </c>
      <c r="P2" s="50"/>
      <c r="R2" s="50"/>
      <c r="S2" s="51">
        <v>7</v>
      </c>
      <c r="T2" s="50"/>
    </row>
    <row r="3" spans="1:20" ht="38.25" x14ac:dyDescent="0.25">
      <c r="A3" s="319"/>
      <c r="B3" s="319"/>
      <c r="C3" s="52"/>
      <c r="D3" s="53" t="s">
        <v>156</v>
      </c>
      <c r="E3" s="52"/>
      <c r="F3" s="52"/>
      <c r="G3" s="53" t="s">
        <v>190</v>
      </c>
      <c r="H3" s="52"/>
      <c r="J3" s="52"/>
      <c r="K3" s="53" t="s">
        <v>191</v>
      </c>
      <c r="L3" s="52"/>
      <c r="N3" s="52"/>
      <c r="O3" s="53" t="s">
        <v>192</v>
      </c>
      <c r="P3" s="52"/>
      <c r="R3" s="52"/>
      <c r="S3" s="53" t="s">
        <v>193</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320" t="s">
        <v>92</v>
      </c>
      <c r="B6" s="321"/>
      <c r="D6" s="104">
        <v>144091054</v>
      </c>
      <c r="G6" s="57">
        <f ca="1">SUM(G10:G11)</f>
        <v>190187794</v>
      </c>
      <c r="H6" s="55"/>
      <c r="K6" s="57">
        <f ca="1">SUM(K10:K11)</f>
        <v>861591864</v>
      </c>
      <c r="L6" s="55"/>
      <c r="O6" s="57">
        <f ca="1">SUM(O10:O11)</f>
        <v>0</v>
      </c>
      <c r="P6" s="55"/>
      <c r="S6" s="57">
        <f ca="1">SUM(S10:S11)</f>
        <v>651264897</v>
      </c>
      <c r="T6" s="55"/>
    </row>
    <row r="7" spans="1:20" x14ac:dyDescent="0.25">
      <c r="A7" s="56"/>
      <c r="B7" s="56"/>
      <c r="D7" s="101"/>
      <c r="G7" s="101"/>
      <c r="H7" s="55"/>
      <c r="K7" s="101"/>
      <c r="L7" s="55"/>
      <c r="O7" s="101"/>
      <c r="P7" s="55"/>
      <c r="S7" s="101"/>
      <c r="T7" s="55"/>
    </row>
    <row r="8" spans="1:20" x14ac:dyDescent="0.25">
      <c r="A8" s="322" t="s">
        <v>122</v>
      </c>
      <c r="B8" s="322"/>
      <c r="D8" s="323">
        <v>0.4</v>
      </c>
      <c r="F8" s="102">
        <v>1</v>
      </c>
      <c r="G8" s="103">
        <v>0.5</v>
      </c>
      <c r="H8" s="55" t="s">
        <v>89</v>
      </c>
      <c r="J8" s="102">
        <v>1</v>
      </c>
      <c r="K8" s="103">
        <v>1</v>
      </c>
      <c r="L8" s="55"/>
      <c r="N8" s="102">
        <v>1</v>
      </c>
      <c r="O8" s="103">
        <v>1</v>
      </c>
      <c r="P8" s="55"/>
      <c r="R8" s="102">
        <v>1</v>
      </c>
      <c r="S8" s="103">
        <v>0.6</v>
      </c>
      <c r="T8" s="55"/>
    </row>
    <row r="9" spans="1:20" x14ac:dyDescent="0.25">
      <c r="A9" s="322"/>
      <c r="B9" s="322"/>
      <c r="D9" s="323"/>
      <c r="F9" s="102">
        <v>2</v>
      </c>
      <c r="G9" s="103">
        <v>0.5</v>
      </c>
      <c r="H9" s="55"/>
      <c r="J9" s="102"/>
      <c r="K9" s="103"/>
      <c r="L9" s="55"/>
      <c r="N9" s="102"/>
      <c r="O9" s="103"/>
      <c r="P9" s="55"/>
      <c r="R9" s="102">
        <v>2</v>
      </c>
      <c r="S9" s="103">
        <v>0.4</v>
      </c>
      <c r="T9" s="55" t="s">
        <v>89</v>
      </c>
    </row>
    <row r="10" spans="1:20" x14ac:dyDescent="0.25">
      <c r="A10" s="322" t="s">
        <v>120</v>
      </c>
      <c r="B10" s="322"/>
      <c r="D10" s="324">
        <f>40%*D6</f>
        <v>57636421.600000001</v>
      </c>
      <c r="F10" s="102" t="s">
        <v>93</v>
      </c>
      <c r="G10" s="105">
        <f ca="1">+SUMIF(F$15:F$49,F10,G$15:G$49)</f>
        <v>112736793</v>
      </c>
      <c r="H10" s="55" t="s">
        <v>89</v>
      </c>
      <c r="J10" s="102" t="s">
        <v>93</v>
      </c>
      <c r="K10" s="105">
        <f ca="1">+SUMIF(J$15:J$49,J10,K$15:K$49)</f>
        <v>861591864</v>
      </c>
      <c r="L10" s="55"/>
      <c r="N10" s="102" t="s">
        <v>93</v>
      </c>
      <c r="O10" s="105">
        <f ca="1">+SUMIF(N$15:N$49,N10,O$15:O$49)</f>
        <v>0</v>
      </c>
      <c r="P10" s="55"/>
      <c r="R10" s="102" t="s">
        <v>93</v>
      </c>
      <c r="S10" s="105">
        <f ca="1">+SUMIF(R$15:R$49,R10,S$15:S$49)</f>
        <v>78534951</v>
      </c>
      <c r="T10" s="55"/>
    </row>
    <row r="11" spans="1:20" x14ac:dyDescent="0.25">
      <c r="A11" s="322"/>
      <c r="B11" s="322"/>
      <c r="D11" s="324"/>
      <c r="F11" s="102" t="s">
        <v>143</v>
      </c>
      <c r="G11" s="105">
        <f ca="1">+SUMIF(F$15:F$49,F11,G$15:G$49)</f>
        <v>77451001</v>
      </c>
      <c r="H11" s="55"/>
      <c r="J11" s="102"/>
      <c r="K11" s="105">
        <f>+SUMIF(J$15:J$49,J11,K$15:K$49)</f>
        <v>0</v>
      </c>
      <c r="L11" s="55"/>
      <c r="N11" s="102"/>
      <c r="O11" s="105">
        <f>+SUMIF(N$15:N$49,N11,O$15:O$49)</f>
        <v>0</v>
      </c>
      <c r="P11" s="55"/>
      <c r="R11" s="102" t="s">
        <v>143</v>
      </c>
      <c r="S11" s="105">
        <f ca="1">+SUMIF(R$15:R$49,R11,S$15:S$49)</f>
        <v>572729946</v>
      </c>
      <c r="T11" s="55" t="s">
        <v>89</v>
      </c>
    </row>
    <row r="13" spans="1:20" x14ac:dyDescent="0.25">
      <c r="A13" s="320" t="s">
        <v>94</v>
      </c>
      <c r="B13" s="321" t="s">
        <v>95</v>
      </c>
      <c r="G13" s="58" t="str">
        <f ca="1">+IF(G6&gt;=$D6,"CUMPLE","NO CUMPLE")</f>
        <v>CUMPLE</v>
      </c>
      <c r="K13" s="58" t="str">
        <f ca="1">+IF(K6&gt;=$D6,"CUMPLE","NO CUMPLE")</f>
        <v>CUMPLE</v>
      </c>
      <c r="O13" s="58" t="str">
        <f ca="1">+IF(O6&gt;=$D6,"CUMPLE","NO CUMPLE")</f>
        <v>NO CUMPLE</v>
      </c>
      <c r="S13" s="58" t="str">
        <f ca="1">+IF(S6&gt;=$D6,"CUMPLE","NO CUMPLE")</f>
        <v>CUMPLE</v>
      </c>
    </row>
    <row r="14" spans="1:20" x14ac:dyDescent="0.25">
      <c r="A14" s="56"/>
    </row>
    <row r="15" spans="1:20" x14ac:dyDescent="0.25">
      <c r="A15" s="59" t="s">
        <v>96</v>
      </c>
      <c r="B15" s="60"/>
      <c r="F15" s="76"/>
      <c r="G15" s="77" t="s">
        <v>96</v>
      </c>
      <c r="H15" s="78"/>
      <c r="J15" s="76"/>
      <c r="K15" s="77" t="s">
        <v>96</v>
      </c>
      <c r="L15" s="78"/>
      <c r="N15" s="76"/>
      <c r="O15" s="77" t="s">
        <v>96</v>
      </c>
      <c r="P15" s="78"/>
      <c r="R15" s="76"/>
      <c r="S15" s="77" t="s">
        <v>96</v>
      </c>
      <c r="T15" s="78"/>
    </row>
    <row r="16" spans="1:20" x14ac:dyDescent="0.25">
      <c r="A16" s="61"/>
      <c r="B16" s="62"/>
      <c r="F16" s="74"/>
      <c r="G16" s="73"/>
      <c r="H16" s="68"/>
      <c r="J16" s="74"/>
      <c r="K16" s="73"/>
      <c r="L16" s="68"/>
      <c r="N16" s="74"/>
      <c r="O16" s="73"/>
      <c r="P16" s="68"/>
      <c r="R16" s="74"/>
      <c r="S16" s="73"/>
      <c r="T16" s="68"/>
    </row>
    <row r="17" spans="1:20" x14ac:dyDescent="0.25">
      <c r="A17" s="61" t="s">
        <v>97</v>
      </c>
      <c r="B17" s="62"/>
      <c r="F17" s="63" t="s">
        <v>98</v>
      </c>
      <c r="G17" s="64">
        <v>41825079</v>
      </c>
      <c r="H17" s="65" t="s">
        <v>89</v>
      </c>
      <c r="J17" s="63" t="s">
        <v>98</v>
      </c>
      <c r="K17" s="64">
        <v>147790948</v>
      </c>
      <c r="L17" s="65" t="s">
        <v>89</v>
      </c>
      <c r="N17" s="63" t="s">
        <v>98</v>
      </c>
      <c r="O17" s="64">
        <f>155377848-17433</f>
        <v>155360415</v>
      </c>
      <c r="P17" s="65" t="s">
        <v>237</v>
      </c>
      <c r="R17" s="63" t="s">
        <v>98</v>
      </c>
      <c r="S17" s="64">
        <v>472374169</v>
      </c>
      <c r="T17" s="65" t="s">
        <v>89</v>
      </c>
    </row>
    <row r="18" spans="1:20" ht="15" customHeight="1" x14ac:dyDescent="0.25">
      <c r="A18" s="61" t="s">
        <v>99</v>
      </c>
      <c r="B18" s="62"/>
      <c r="F18" s="74"/>
      <c r="G18" s="73">
        <v>2013</v>
      </c>
      <c r="H18" s="318" t="s">
        <v>215</v>
      </c>
      <c r="J18" s="74"/>
      <c r="K18" s="73">
        <v>2013</v>
      </c>
      <c r="L18" s="318" t="s">
        <v>231</v>
      </c>
      <c r="N18" s="74"/>
      <c r="O18" s="73">
        <v>2014</v>
      </c>
      <c r="P18" s="318" t="s">
        <v>242</v>
      </c>
      <c r="R18" s="74"/>
      <c r="S18" s="73">
        <v>2015</v>
      </c>
      <c r="T18" s="318" t="s">
        <v>243</v>
      </c>
    </row>
    <row r="19" spans="1:20" x14ac:dyDescent="0.25">
      <c r="A19" s="66" t="s">
        <v>100</v>
      </c>
      <c r="B19" s="62"/>
      <c r="F19" s="106">
        <v>1</v>
      </c>
      <c r="G19" s="100">
        <v>1</v>
      </c>
      <c r="H19" s="318"/>
      <c r="J19" s="106">
        <v>1</v>
      </c>
      <c r="K19" s="67">
        <v>1</v>
      </c>
      <c r="L19" s="318"/>
      <c r="N19" s="106">
        <v>1</v>
      </c>
      <c r="O19" s="67">
        <v>0</v>
      </c>
      <c r="P19" s="318"/>
      <c r="R19" s="106">
        <v>1</v>
      </c>
      <c r="S19" s="67">
        <v>1</v>
      </c>
      <c r="T19" s="318"/>
    </row>
    <row r="20" spans="1:20" x14ac:dyDescent="0.25">
      <c r="A20" s="66"/>
      <c r="B20" s="62"/>
      <c r="F20" s="74"/>
      <c r="G20" s="67"/>
      <c r="H20" s="318"/>
      <c r="J20" s="74"/>
      <c r="K20" s="67"/>
      <c r="L20" s="318"/>
      <c r="N20" s="74"/>
      <c r="O20" s="67"/>
      <c r="P20" s="318"/>
      <c r="R20" s="74"/>
      <c r="S20" s="67"/>
      <c r="T20" s="318"/>
    </row>
    <row r="21" spans="1:20" x14ac:dyDescent="0.25">
      <c r="A21" s="66"/>
      <c r="B21" s="62"/>
      <c r="F21" s="74"/>
      <c r="G21" s="67"/>
      <c r="H21" s="318"/>
      <c r="J21" s="74"/>
      <c r="K21" s="67"/>
      <c r="L21" s="318"/>
      <c r="N21" s="74"/>
      <c r="O21" s="67"/>
      <c r="P21" s="318"/>
      <c r="R21" s="74"/>
      <c r="S21" s="67"/>
      <c r="T21" s="318"/>
    </row>
    <row r="22" spans="1:20" x14ac:dyDescent="0.25">
      <c r="A22" s="66"/>
      <c r="B22" s="62"/>
      <c r="F22" s="74"/>
      <c r="G22" s="67"/>
      <c r="H22" s="318"/>
      <c r="J22" s="74"/>
      <c r="K22" s="67"/>
      <c r="L22" s="318"/>
      <c r="N22" s="74"/>
      <c r="O22" s="67"/>
      <c r="P22" s="318"/>
      <c r="R22" s="74"/>
      <c r="S22" s="67"/>
      <c r="T22" s="318"/>
    </row>
    <row r="23" spans="1:20" x14ac:dyDescent="0.25">
      <c r="A23" s="66"/>
      <c r="B23" s="62"/>
      <c r="F23" s="74"/>
      <c r="G23" s="67"/>
      <c r="H23" s="318"/>
      <c r="J23" s="74"/>
      <c r="K23" s="67"/>
      <c r="L23" s="318"/>
      <c r="N23" s="74"/>
      <c r="O23" s="67"/>
      <c r="P23" s="318"/>
      <c r="R23" s="74"/>
      <c r="S23" s="67"/>
      <c r="T23" s="318"/>
    </row>
    <row r="24" spans="1:20" x14ac:dyDescent="0.25">
      <c r="A24" s="61"/>
      <c r="B24" s="62"/>
      <c r="F24" s="74"/>
      <c r="G24" s="67"/>
      <c r="H24" s="318"/>
      <c r="J24" s="74"/>
      <c r="K24" s="67"/>
      <c r="L24" s="318"/>
      <c r="N24" s="74"/>
      <c r="O24" s="67"/>
      <c r="P24" s="318"/>
      <c r="R24" s="74"/>
      <c r="S24" s="67"/>
      <c r="T24" s="318"/>
    </row>
    <row r="25" spans="1:20" x14ac:dyDescent="0.25">
      <c r="A25" s="69" t="s">
        <v>102</v>
      </c>
      <c r="B25" s="70"/>
      <c r="F25" s="71" t="s">
        <v>93</v>
      </c>
      <c r="G25" s="72">
        <f ca="1">+ROUND(G17*G19*$B$85/(LOOKUP(G18,$A$53:$A$85,$B$53:$B$84)),0)</f>
        <v>55429191</v>
      </c>
      <c r="H25" s="75">
        <f ca="1">+ROUND(G25/$B$84,2)</f>
        <v>75.14</v>
      </c>
      <c r="J25" s="71" t="s">
        <v>93</v>
      </c>
      <c r="K25" s="72">
        <f ca="1">+ROUND(K17*K19*$B$85/(LOOKUP(K18,$A$53:$A$85,$B$53:$B$84)),0)</f>
        <v>195861740</v>
      </c>
      <c r="L25" s="75">
        <f ca="1">+ROUND(K25/$B$84,2)</f>
        <v>265.5</v>
      </c>
      <c r="N25" s="71" t="s">
        <v>93</v>
      </c>
      <c r="O25" s="72">
        <f ca="1">+ROUND(O17*O19*$B$85/(LOOKUP(O18,$A$53:$A$85,$B$53:$B$84)),0)</f>
        <v>0</v>
      </c>
      <c r="P25" s="75">
        <f ca="1">+ROUND(O25/$B$84,2)</f>
        <v>0</v>
      </c>
      <c r="R25" s="71" t="s">
        <v>143</v>
      </c>
      <c r="S25" s="72">
        <f ca="1">+ROUND(S17*S19*$B$85/(LOOKUP(S18,$A$53:$A$85,$B$53:$B$84)),0)</f>
        <v>572729946</v>
      </c>
      <c r="T25" s="75">
        <f ca="1">+ROUND(S25/$B$84,2)</f>
        <v>776.35</v>
      </c>
    </row>
    <row r="27" spans="1:20" x14ac:dyDescent="0.25">
      <c r="A27" s="59" t="s">
        <v>101</v>
      </c>
      <c r="B27" s="60"/>
      <c r="F27" s="76"/>
      <c r="G27" s="77" t="s">
        <v>101</v>
      </c>
      <c r="H27" s="78"/>
      <c r="J27" s="76"/>
      <c r="K27" s="77" t="s">
        <v>101</v>
      </c>
      <c r="L27" s="78"/>
      <c r="N27" s="76"/>
      <c r="O27" s="77" t="s">
        <v>101</v>
      </c>
      <c r="P27" s="78"/>
      <c r="R27" s="76"/>
      <c r="S27" s="77" t="s">
        <v>101</v>
      </c>
      <c r="T27" s="78"/>
    </row>
    <row r="28" spans="1:20" x14ac:dyDescent="0.25">
      <c r="A28" s="61"/>
      <c r="B28" s="62"/>
      <c r="F28" s="74"/>
      <c r="G28" s="73"/>
      <c r="H28" s="68"/>
      <c r="J28" s="74"/>
      <c r="K28" s="73"/>
      <c r="L28" s="68"/>
      <c r="N28" s="74"/>
      <c r="O28" s="73"/>
      <c r="P28" s="68"/>
      <c r="R28" s="74"/>
      <c r="S28" s="73"/>
      <c r="T28" s="68"/>
    </row>
    <row r="29" spans="1:20" x14ac:dyDescent="0.25">
      <c r="A29" s="61" t="s">
        <v>97</v>
      </c>
      <c r="B29" s="62"/>
      <c r="F29" s="63" t="s">
        <v>98</v>
      </c>
      <c r="G29" s="64">
        <v>47265960</v>
      </c>
      <c r="H29" s="65" t="s">
        <v>89</v>
      </c>
      <c r="J29" s="63" t="s">
        <v>98</v>
      </c>
      <c r="K29" s="64">
        <v>577445596.54999995</v>
      </c>
      <c r="L29" s="65" t="s">
        <v>89</v>
      </c>
      <c r="N29" s="63" t="s">
        <v>98</v>
      </c>
      <c r="O29" s="64">
        <v>61824844</v>
      </c>
      <c r="P29" s="65" t="s">
        <v>237</v>
      </c>
      <c r="R29" s="63" t="s">
        <v>98</v>
      </c>
      <c r="S29" s="64">
        <v>123847744</v>
      </c>
      <c r="T29" s="65" t="s">
        <v>89</v>
      </c>
    </row>
    <row r="30" spans="1:20" ht="15" customHeight="1" x14ac:dyDescent="0.25">
      <c r="A30" s="61" t="s">
        <v>99</v>
      </c>
      <c r="B30" s="62"/>
      <c r="F30" s="74"/>
      <c r="G30" s="73">
        <v>2015</v>
      </c>
      <c r="H30" s="318" t="s">
        <v>217</v>
      </c>
      <c r="J30" s="74"/>
      <c r="K30" s="73">
        <v>2011</v>
      </c>
      <c r="L30" s="318" t="s">
        <v>215</v>
      </c>
      <c r="N30" s="74"/>
      <c r="O30" s="73">
        <v>2013</v>
      </c>
      <c r="P30" s="318" t="s">
        <v>242</v>
      </c>
      <c r="R30" s="74"/>
      <c r="S30" s="73">
        <v>2014</v>
      </c>
      <c r="T30" s="318" t="s">
        <v>232</v>
      </c>
    </row>
    <row r="31" spans="1:20" x14ac:dyDescent="0.25">
      <c r="A31" s="66" t="s">
        <v>100</v>
      </c>
      <c r="B31" s="62"/>
      <c r="F31" s="106">
        <v>1</v>
      </c>
      <c r="G31" s="67">
        <v>1</v>
      </c>
      <c r="H31" s="318"/>
      <c r="J31" s="106">
        <v>0.5</v>
      </c>
      <c r="K31" s="67">
        <v>0.5</v>
      </c>
      <c r="L31" s="318"/>
      <c r="N31" s="106">
        <v>0.9</v>
      </c>
      <c r="O31" s="67">
        <v>0</v>
      </c>
      <c r="P31" s="318"/>
      <c r="R31" s="106">
        <v>0.5</v>
      </c>
      <c r="S31" s="67">
        <v>0.5</v>
      </c>
      <c r="T31" s="318"/>
    </row>
    <row r="32" spans="1:20" ht="20.100000000000001" customHeight="1" x14ac:dyDescent="0.25">
      <c r="A32" s="66"/>
      <c r="B32" s="62"/>
      <c r="F32" s="74"/>
      <c r="G32" s="67"/>
      <c r="H32" s="318"/>
      <c r="J32" s="74"/>
      <c r="K32" s="67"/>
      <c r="L32" s="318"/>
      <c r="N32" s="74"/>
      <c r="O32" s="67"/>
      <c r="P32" s="318"/>
      <c r="R32" s="74"/>
      <c r="S32" s="67"/>
      <c r="T32" s="318"/>
    </row>
    <row r="33" spans="1:20" ht="20.100000000000001" customHeight="1" x14ac:dyDescent="0.25">
      <c r="A33" s="66"/>
      <c r="B33" s="62"/>
      <c r="F33" s="74"/>
      <c r="G33" s="67"/>
      <c r="H33" s="318"/>
      <c r="J33" s="74"/>
      <c r="K33" s="67"/>
      <c r="L33" s="318"/>
      <c r="N33" s="74"/>
      <c r="O33" s="67"/>
      <c r="P33" s="318"/>
      <c r="R33" s="74"/>
      <c r="S33" s="67"/>
      <c r="T33" s="318"/>
    </row>
    <row r="34" spans="1:20" ht="20.100000000000001" customHeight="1" x14ac:dyDescent="0.25">
      <c r="A34" s="66"/>
      <c r="B34" s="62"/>
      <c r="F34" s="74"/>
      <c r="G34" s="67"/>
      <c r="H34" s="318"/>
      <c r="J34" s="74"/>
      <c r="K34" s="67"/>
      <c r="L34" s="318"/>
      <c r="N34" s="74"/>
      <c r="O34" s="67"/>
      <c r="P34" s="318"/>
      <c r="R34" s="74"/>
      <c r="S34" s="67"/>
      <c r="T34" s="318"/>
    </row>
    <row r="35" spans="1:20" ht="20.100000000000001" customHeight="1" x14ac:dyDescent="0.25">
      <c r="A35" s="66"/>
      <c r="B35" s="62"/>
      <c r="F35" s="74"/>
      <c r="G35" s="67"/>
      <c r="H35" s="318"/>
      <c r="J35" s="74"/>
      <c r="K35" s="67"/>
      <c r="L35" s="318"/>
      <c r="N35" s="74"/>
      <c r="O35" s="67"/>
      <c r="P35" s="318"/>
      <c r="R35" s="74"/>
      <c r="S35" s="67"/>
      <c r="T35" s="318"/>
    </row>
    <row r="36" spans="1:20" ht="20.100000000000001" customHeight="1" x14ac:dyDescent="0.25">
      <c r="A36" s="61"/>
      <c r="B36" s="62"/>
      <c r="F36" s="74"/>
      <c r="G36" s="67"/>
      <c r="H36" s="318"/>
      <c r="J36" s="74"/>
      <c r="K36" s="67"/>
      <c r="L36" s="318"/>
      <c r="N36" s="74"/>
      <c r="O36" s="67"/>
      <c r="P36" s="318"/>
      <c r="R36" s="74"/>
      <c r="S36" s="67"/>
      <c r="T36" s="318"/>
    </row>
    <row r="37" spans="1:20" x14ac:dyDescent="0.25">
      <c r="A37" s="69" t="s">
        <v>102</v>
      </c>
      <c r="B37" s="70"/>
      <c r="F37" s="71" t="s">
        <v>93</v>
      </c>
      <c r="G37" s="72">
        <f ca="1">+ROUND(G29*G31*$B$85/(LOOKUP(G30,$A$53:$A$85,$B$53:$B$84)),0)</f>
        <v>57307602</v>
      </c>
      <c r="H37" s="75">
        <f ca="1">+ROUND(G37/$B$84,2)</f>
        <v>77.680000000000007</v>
      </c>
      <c r="J37" s="71" t="s">
        <v>93</v>
      </c>
      <c r="K37" s="72">
        <f ca="1">+ROUND(K29*K31*$B$85/(LOOKUP(K30,$A$53:$A$85,$B$53:$B$84)),0)</f>
        <v>421139612</v>
      </c>
      <c r="L37" s="75">
        <f ca="1">+ROUND(K37/$B$84,2)</f>
        <v>570.87</v>
      </c>
      <c r="N37" s="71" t="s">
        <v>93</v>
      </c>
      <c r="O37" s="72">
        <f ca="1">+ROUND(O29*O31*$B$85/(LOOKUP(O30,$A$53:$A$85,$B$53:$B$84)),0)</f>
        <v>0</v>
      </c>
      <c r="P37" s="75">
        <f ca="1">+ROUND(O37/$B$84,2)</f>
        <v>0</v>
      </c>
      <c r="R37" s="71" t="s">
        <v>93</v>
      </c>
      <c r="S37" s="72">
        <f ca="1">+ROUND(S29*S31*$B$85/(LOOKUP(S30,$A$53:$A$85,$B$53:$B$84)),0)</f>
        <v>78534951</v>
      </c>
      <c r="T37" s="75">
        <f ca="1">+ROUND(S37/$B$84,2)</f>
        <v>106.46</v>
      </c>
    </row>
    <row r="39" spans="1:20" x14ac:dyDescent="0.25">
      <c r="A39" s="59" t="s">
        <v>216</v>
      </c>
      <c r="B39" s="60"/>
      <c r="F39" s="76"/>
      <c r="G39" s="77" t="s">
        <v>216</v>
      </c>
      <c r="H39" s="78"/>
      <c r="J39" s="76"/>
      <c r="K39" s="77" t="s">
        <v>216</v>
      </c>
      <c r="L39" s="78"/>
      <c r="N39" s="76"/>
      <c r="O39" s="77" t="s">
        <v>216</v>
      </c>
      <c r="P39" s="78"/>
      <c r="R39" s="76"/>
      <c r="S39" s="77" t="s">
        <v>216</v>
      </c>
      <c r="T39" s="78"/>
    </row>
    <row r="40" spans="1:20" x14ac:dyDescent="0.25">
      <c r="A40" s="61"/>
      <c r="B40" s="62"/>
      <c r="F40" s="74"/>
      <c r="G40" s="73"/>
      <c r="H40" s="68"/>
      <c r="J40" s="74"/>
      <c r="K40" s="73"/>
      <c r="L40" s="68"/>
      <c r="N40" s="74"/>
      <c r="O40" s="73"/>
      <c r="P40" s="68"/>
      <c r="R40" s="74"/>
      <c r="S40" s="73"/>
      <c r="T40" s="68"/>
    </row>
    <row r="41" spans="1:20" x14ac:dyDescent="0.25">
      <c r="A41" s="61" t="s">
        <v>97</v>
      </c>
      <c r="B41" s="62"/>
      <c r="F41" s="63" t="s">
        <v>98</v>
      </c>
      <c r="G41" s="64">
        <v>58442026</v>
      </c>
      <c r="H41" s="65" t="s">
        <v>89</v>
      </c>
      <c r="J41" s="63" t="s">
        <v>98</v>
      </c>
      <c r="K41" s="64">
        <v>184560107</v>
      </c>
      <c r="L41" s="65" t="s">
        <v>89</v>
      </c>
      <c r="N41" s="63" t="s">
        <v>98</v>
      </c>
      <c r="O41" s="64">
        <v>0</v>
      </c>
      <c r="P41" s="65"/>
      <c r="R41" s="63" t="s">
        <v>98</v>
      </c>
      <c r="S41" s="64">
        <v>0</v>
      </c>
      <c r="T41" s="65"/>
    </row>
    <row r="42" spans="1:20" ht="15" customHeight="1" x14ac:dyDescent="0.25">
      <c r="A42" s="61" t="s">
        <v>99</v>
      </c>
      <c r="B42" s="62"/>
      <c r="F42" s="74"/>
      <c r="G42" s="73">
        <v>2013</v>
      </c>
      <c r="H42" s="318" t="s">
        <v>218</v>
      </c>
      <c r="J42" s="74"/>
      <c r="K42" s="73">
        <v>2013</v>
      </c>
      <c r="L42" s="318" t="s">
        <v>232</v>
      </c>
      <c r="N42" s="74"/>
      <c r="O42" s="73">
        <v>2000</v>
      </c>
      <c r="P42" s="318"/>
      <c r="R42" s="74"/>
      <c r="S42" s="73">
        <v>2000</v>
      </c>
      <c r="T42" s="318"/>
    </row>
    <row r="43" spans="1:20" x14ac:dyDescent="0.25">
      <c r="A43" s="66" t="s">
        <v>100</v>
      </c>
      <c r="B43" s="62"/>
      <c r="F43" s="106">
        <v>1</v>
      </c>
      <c r="G43" s="67">
        <v>1</v>
      </c>
      <c r="H43" s="318"/>
      <c r="J43" s="106">
        <v>1</v>
      </c>
      <c r="K43" s="67">
        <v>1</v>
      </c>
      <c r="L43" s="318"/>
      <c r="N43" s="106">
        <v>0</v>
      </c>
      <c r="O43" s="67">
        <v>0</v>
      </c>
      <c r="P43" s="318"/>
      <c r="R43" s="106">
        <v>0</v>
      </c>
      <c r="S43" s="67">
        <v>0</v>
      </c>
      <c r="T43" s="318"/>
    </row>
    <row r="44" spans="1:20" x14ac:dyDescent="0.25">
      <c r="A44" s="66"/>
      <c r="B44" s="62"/>
      <c r="F44" s="74"/>
      <c r="G44" s="67"/>
      <c r="H44" s="318"/>
      <c r="J44" s="74"/>
      <c r="K44" s="67"/>
      <c r="L44" s="318"/>
      <c r="N44" s="74"/>
      <c r="O44" s="67"/>
      <c r="P44" s="318"/>
      <c r="R44" s="74"/>
      <c r="S44" s="67"/>
      <c r="T44" s="318"/>
    </row>
    <row r="45" spans="1:20" x14ac:dyDescent="0.25">
      <c r="A45" s="66"/>
      <c r="B45" s="62"/>
      <c r="F45" s="74"/>
      <c r="G45" s="67"/>
      <c r="H45" s="318"/>
      <c r="J45" s="74"/>
      <c r="K45" s="67"/>
      <c r="L45" s="318"/>
      <c r="N45" s="74"/>
      <c r="O45" s="67"/>
      <c r="P45" s="318"/>
      <c r="R45" s="74"/>
      <c r="S45" s="67"/>
      <c r="T45" s="318"/>
    </row>
    <row r="46" spans="1:20" x14ac:dyDescent="0.25">
      <c r="A46" s="66"/>
      <c r="B46" s="62"/>
      <c r="F46" s="74"/>
      <c r="G46" s="67"/>
      <c r="H46" s="318"/>
      <c r="J46" s="74"/>
      <c r="K46" s="67"/>
      <c r="L46" s="318"/>
      <c r="N46" s="74"/>
      <c r="O46" s="67"/>
      <c r="P46" s="318"/>
      <c r="R46" s="74"/>
      <c r="S46" s="67"/>
      <c r="T46" s="318"/>
    </row>
    <row r="47" spans="1:20" x14ac:dyDescent="0.25">
      <c r="A47" s="66"/>
      <c r="B47" s="62"/>
      <c r="F47" s="74"/>
      <c r="G47" s="67"/>
      <c r="H47" s="318"/>
      <c r="J47" s="74"/>
      <c r="K47" s="67"/>
      <c r="L47" s="318"/>
      <c r="N47" s="74"/>
      <c r="O47" s="67"/>
      <c r="P47" s="318"/>
      <c r="R47" s="74"/>
      <c r="S47" s="67"/>
      <c r="T47" s="318"/>
    </row>
    <row r="48" spans="1:20" x14ac:dyDescent="0.25">
      <c r="A48" s="61"/>
      <c r="B48" s="62"/>
      <c r="F48" s="74"/>
      <c r="G48" s="67"/>
      <c r="H48" s="318"/>
      <c r="J48" s="74"/>
      <c r="K48" s="67"/>
      <c r="L48" s="318"/>
      <c r="N48" s="74"/>
      <c r="O48" s="67"/>
      <c r="P48" s="318"/>
      <c r="R48" s="74"/>
      <c r="S48" s="67"/>
      <c r="T48" s="318"/>
    </row>
    <row r="49" spans="1:20" x14ac:dyDescent="0.25">
      <c r="A49" s="69" t="s">
        <v>102</v>
      </c>
      <c r="B49" s="70"/>
      <c r="F49" s="71" t="s">
        <v>143</v>
      </c>
      <c r="G49" s="72">
        <f ca="1">+ROUND(G41*G43*$B$85/(LOOKUP(G42,$A$53:$A$85,$B$53:$B$84)),0)</f>
        <v>77451001</v>
      </c>
      <c r="H49" s="75">
        <f ca="1">+ROUND(G49/$B$84,2)</f>
        <v>104.99</v>
      </c>
      <c r="J49" s="71" t="s">
        <v>93</v>
      </c>
      <c r="K49" s="72">
        <f ca="1">+ROUND(K41*K43*$B$85/(LOOKUP(K42,$A$53:$A$85,$B$53:$B$84)),0)</f>
        <v>244590512</v>
      </c>
      <c r="L49" s="75">
        <f ca="1">+ROUND(K49/$B$84,2)</f>
        <v>331.55</v>
      </c>
      <c r="N49" s="71"/>
      <c r="O49" s="72">
        <f ca="1">+ROUND(O41*O43*$B$85/(LOOKUP(O42,$A$53:$A$85,$B$53:$B$84)),0)</f>
        <v>0</v>
      </c>
      <c r="P49" s="75">
        <f ca="1">+ROUND(O49/$B$84,2)</f>
        <v>0</v>
      </c>
      <c r="R49" s="71"/>
      <c r="S49" s="72">
        <f ca="1">+ROUND(S41*S43*$B$85/(LOOKUP(S42,$A$53:$A$85,$B$53:$B$84)),0)</f>
        <v>0</v>
      </c>
      <c r="T49" s="75">
        <f ca="1">+ROUND(S49/$B$84,2)</f>
        <v>0</v>
      </c>
    </row>
    <row r="53" spans="1:20" ht="15.75" x14ac:dyDescent="0.25">
      <c r="A53" s="79">
        <v>1986</v>
      </c>
      <c r="B53" s="80">
        <v>16811</v>
      </c>
    </row>
    <row r="54" spans="1:20" ht="15.75" x14ac:dyDescent="0.25">
      <c r="A54" s="79">
        <v>1987</v>
      </c>
      <c r="B54" s="80">
        <v>20510</v>
      </c>
    </row>
    <row r="55" spans="1:20" ht="15.75" x14ac:dyDescent="0.25">
      <c r="A55" s="79">
        <v>1988</v>
      </c>
      <c r="B55" s="80">
        <v>25637</v>
      </c>
    </row>
    <row r="56" spans="1:20" ht="15.75" x14ac:dyDescent="0.25">
      <c r="A56" s="79">
        <v>1989</v>
      </c>
      <c r="B56" s="80">
        <v>32560</v>
      </c>
    </row>
    <row r="57" spans="1:20" ht="15.75" x14ac:dyDescent="0.25">
      <c r="A57" s="79">
        <v>1990</v>
      </c>
      <c r="B57" s="80">
        <v>41025</v>
      </c>
    </row>
    <row r="58" spans="1:20" ht="15.75" x14ac:dyDescent="0.25">
      <c r="A58" s="79">
        <v>1991</v>
      </c>
      <c r="B58" s="80">
        <v>51716</v>
      </c>
    </row>
    <row r="59" spans="1:20" ht="15.75" x14ac:dyDescent="0.25">
      <c r="A59" s="79">
        <v>1992</v>
      </c>
      <c r="B59" s="80">
        <v>65190</v>
      </c>
    </row>
    <row r="60" spans="1:20" ht="15.75" x14ac:dyDescent="0.25">
      <c r="A60" s="79">
        <v>1993</v>
      </c>
      <c r="B60" s="80">
        <v>81510</v>
      </c>
    </row>
    <row r="61" spans="1:20" ht="15.75" x14ac:dyDescent="0.25">
      <c r="A61" s="79">
        <v>1994</v>
      </c>
      <c r="B61" s="80">
        <v>98700</v>
      </c>
    </row>
    <row r="62" spans="1:20" ht="15.75" x14ac:dyDescent="0.25">
      <c r="A62" s="79">
        <v>1995</v>
      </c>
      <c r="B62" s="80">
        <v>118934</v>
      </c>
    </row>
    <row r="63" spans="1:20" ht="15.75" x14ac:dyDescent="0.25">
      <c r="A63" s="79">
        <v>1996</v>
      </c>
      <c r="B63" s="80">
        <v>142125</v>
      </c>
    </row>
    <row r="64" spans="1:20" ht="15.75" x14ac:dyDescent="0.25">
      <c r="A64" s="79">
        <v>1997</v>
      </c>
      <c r="B64" s="81">
        <v>172005</v>
      </c>
    </row>
    <row r="65" spans="1:2" ht="15.75" x14ac:dyDescent="0.25">
      <c r="A65" s="79">
        <v>1998</v>
      </c>
      <c r="B65" s="81">
        <v>203826</v>
      </c>
    </row>
    <row r="66" spans="1:2" ht="15.75" x14ac:dyDescent="0.25">
      <c r="A66" s="79">
        <v>1999</v>
      </c>
      <c r="B66" s="80">
        <v>236460</v>
      </c>
    </row>
    <row r="67" spans="1:2" ht="15.75" x14ac:dyDescent="0.25">
      <c r="A67" s="79">
        <v>2000</v>
      </c>
      <c r="B67" s="82">
        <v>260100</v>
      </c>
    </row>
    <row r="68" spans="1:2" ht="15.75" x14ac:dyDescent="0.25">
      <c r="A68" s="79">
        <v>2001</v>
      </c>
      <c r="B68" s="82">
        <v>286000</v>
      </c>
    </row>
    <row r="69" spans="1:2" ht="15.75" x14ac:dyDescent="0.25">
      <c r="A69" s="79">
        <v>2002</v>
      </c>
      <c r="B69" s="82">
        <v>309000</v>
      </c>
    </row>
    <row r="70" spans="1:2" ht="15.75" x14ac:dyDescent="0.25">
      <c r="A70" s="79">
        <v>2003</v>
      </c>
      <c r="B70" s="82">
        <v>332000</v>
      </c>
    </row>
    <row r="71" spans="1:2" ht="15.75" x14ac:dyDescent="0.25">
      <c r="A71" s="79">
        <v>2004</v>
      </c>
      <c r="B71" s="82">
        <v>358000</v>
      </c>
    </row>
    <row r="72" spans="1:2" ht="15.75" x14ac:dyDescent="0.25">
      <c r="A72" s="79">
        <v>2005</v>
      </c>
      <c r="B72" s="82">
        <v>381500</v>
      </c>
    </row>
    <row r="73" spans="1:2" ht="15.75" x14ac:dyDescent="0.25">
      <c r="A73" s="79">
        <v>2006</v>
      </c>
      <c r="B73" s="82">
        <v>408000</v>
      </c>
    </row>
    <row r="74" spans="1:2" ht="15.75" x14ac:dyDescent="0.25">
      <c r="A74" s="79">
        <v>2007</v>
      </c>
      <c r="B74" s="82">
        <v>433700</v>
      </c>
    </row>
    <row r="75" spans="1:2" ht="15.75" x14ac:dyDescent="0.25">
      <c r="A75" s="79">
        <v>2008</v>
      </c>
      <c r="B75" s="82">
        <v>461500</v>
      </c>
    </row>
    <row r="76" spans="1:2" ht="15.75" x14ac:dyDescent="0.25">
      <c r="A76" s="79">
        <v>2009</v>
      </c>
      <c r="B76" s="82">
        <v>496900</v>
      </c>
    </row>
    <row r="77" spans="1:2" ht="15.75" x14ac:dyDescent="0.25">
      <c r="A77" s="79">
        <v>2010</v>
      </c>
      <c r="B77" s="82">
        <v>515000</v>
      </c>
    </row>
    <row r="78" spans="1:2" ht="15.75" x14ac:dyDescent="0.25">
      <c r="A78" s="79">
        <v>2011</v>
      </c>
      <c r="B78" s="82">
        <v>535600</v>
      </c>
    </row>
    <row r="79" spans="1:2" ht="15.75" x14ac:dyDescent="0.25">
      <c r="A79" s="79">
        <v>2012</v>
      </c>
      <c r="B79" s="82">
        <v>566700</v>
      </c>
    </row>
    <row r="80" spans="1:2" ht="15.75" x14ac:dyDescent="0.25">
      <c r="A80" s="79">
        <v>2013</v>
      </c>
      <c r="B80" s="82">
        <v>589500</v>
      </c>
    </row>
    <row r="81" spans="1:2" ht="15.75" x14ac:dyDescent="0.25">
      <c r="A81" s="79">
        <v>2014</v>
      </c>
      <c r="B81" s="82">
        <v>616000</v>
      </c>
    </row>
    <row r="82" spans="1:2" ht="15.75" x14ac:dyDescent="0.25">
      <c r="A82" s="79">
        <v>2015</v>
      </c>
      <c r="B82" s="82">
        <v>644350</v>
      </c>
    </row>
    <row r="83" spans="1:2" ht="15.75" x14ac:dyDescent="0.25">
      <c r="A83" s="79">
        <v>2016</v>
      </c>
      <c r="B83" s="82">
        <v>689454</v>
      </c>
    </row>
    <row r="84" spans="1:2" ht="15.75" x14ac:dyDescent="0.25">
      <c r="A84" s="79">
        <v>2017</v>
      </c>
      <c r="B84" s="83">
        <v>737717</v>
      </c>
    </row>
    <row r="85" spans="1:2" ht="15.75" x14ac:dyDescent="0.25">
      <c r="A85" s="79">
        <v>2018</v>
      </c>
      <c r="B85" s="83">
        <v>781242</v>
      </c>
    </row>
  </sheetData>
  <mergeCells count="19">
    <mergeCell ref="H42:H48"/>
    <mergeCell ref="L42:L48"/>
    <mergeCell ref="P42:P48"/>
    <mergeCell ref="T42:T48"/>
    <mergeCell ref="H30:H36"/>
    <mergeCell ref="L30:L36"/>
    <mergeCell ref="T18:T24"/>
    <mergeCell ref="T30:T36"/>
    <mergeCell ref="P18:P24"/>
    <mergeCell ref="P30:P36"/>
    <mergeCell ref="A2:B3"/>
    <mergeCell ref="A6:B6"/>
    <mergeCell ref="A13:B13"/>
    <mergeCell ref="L18:L24"/>
    <mergeCell ref="H18:H24"/>
    <mergeCell ref="A8:B9"/>
    <mergeCell ref="D8:D9"/>
    <mergeCell ref="A10:B11"/>
    <mergeCell ref="D10:D11"/>
  </mergeCells>
  <conditionalFormatting sqref="H6:H7 H10:H11">
    <cfRule type="cellIs" dxfId="91" priority="273" operator="equal">
      <formula>"NO CUMPLE"</formula>
    </cfRule>
  </conditionalFormatting>
  <conditionalFormatting sqref="L6:L7">
    <cfRule type="cellIs" dxfId="90" priority="268" operator="equal">
      <formula>"NO CUMPLE"</formula>
    </cfRule>
  </conditionalFormatting>
  <conditionalFormatting sqref="H8:H9">
    <cfRule type="cellIs" dxfId="89" priority="256" operator="equal">
      <formula>"NO CUMPLE"</formula>
    </cfRule>
  </conditionalFormatting>
  <conditionalFormatting sqref="L10:L11">
    <cfRule type="cellIs" dxfId="88" priority="255" operator="equal">
      <formula>"NO CUMPLE"</formula>
    </cfRule>
  </conditionalFormatting>
  <conditionalFormatting sqref="L8:L9">
    <cfRule type="cellIs" dxfId="87" priority="254" operator="equal">
      <formula>"NO CUMPLE"</formula>
    </cfRule>
  </conditionalFormatting>
  <conditionalFormatting sqref="G13">
    <cfRule type="cellIs" dxfId="86" priority="244" operator="equal">
      <formula>"NO CUMPLE"</formula>
    </cfRule>
    <cfRule type="cellIs" dxfId="85" priority="245" operator="equal">
      <formula>"CUMPLE"</formula>
    </cfRule>
  </conditionalFormatting>
  <conditionalFormatting sqref="K13">
    <cfRule type="cellIs" dxfId="84" priority="233" operator="equal">
      <formula>"NO CUMPLE"</formula>
    </cfRule>
    <cfRule type="cellIs" dxfId="83" priority="234" operator="equal">
      <formula>"CUMPLE"</formula>
    </cfRule>
  </conditionalFormatting>
  <conditionalFormatting sqref="P6:P7">
    <cfRule type="cellIs" dxfId="82" priority="25" operator="equal">
      <formula>"NO CUMPLE"</formula>
    </cfRule>
  </conditionalFormatting>
  <conditionalFormatting sqref="P10:P11">
    <cfRule type="cellIs" dxfId="81" priority="24" operator="equal">
      <formula>"NO CUMPLE"</formula>
    </cfRule>
  </conditionalFormatting>
  <conditionalFormatting sqref="P8:P9">
    <cfRule type="cellIs" dxfId="80" priority="23" operator="equal">
      <formula>"NO CUMPLE"</formula>
    </cfRule>
  </conditionalFormatting>
  <conditionalFormatting sqref="O13">
    <cfRule type="cellIs" dxfId="79" priority="21" operator="equal">
      <formula>"NO CUMPLE"</formula>
    </cfRule>
    <cfRule type="cellIs" dxfId="78" priority="22" operator="equal">
      <formula>"CUMPLE"</formula>
    </cfRule>
  </conditionalFormatting>
  <conditionalFormatting sqref="T6:T7">
    <cfRule type="cellIs" dxfId="77" priority="10" operator="equal">
      <formula>"NO CUMPLE"</formula>
    </cfRule>
  </conditionalFormatting>
  <conditionalFormatting sqref="T10:T11">
    <cfRule type="cellIs" dxfId="76" priority="9" operator="equal">
      <formula>"NO CUMPLE"</formula>
    </cfRule>
  </conditionalFormatting>
  <conditionalFormatting sqref="T8:T9">
    <cfRule type="cellIs" dxfId="75" priority="8" operator="equal">
      <formula>"NO CUMPLE"</formula>
    </cfRule>
  </conditionalFormatting>
  <conditionalFormatting sqref="S13">
    <cfRule type="cellIs" dxfId="74" priority="6" operator="equal">
      <formula>"NO CUMPLE"</formula>
    </cfRule>
    <cfRule type="cellIs" dxfId="73" priority="7"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80" zoomScaleNormal="80" zoomScaleSheetLayoutView="80" workbookViewId="0">
      <selection activeCell="C11" sqref="C11"/>
    </sheetView>
  </sheetViews>
  <sheetFormatPr baseColWidth="10" defaultColWidth="11.42578125" defaultRowHeight="12.75" x14ac:dyDescent="0.2"/>
  <cols>
    <col min="1" max="1" width="11.42578125" style="189"/>
    <col min="2" max="2" width="38.7109375" style="189" customWidth="1"/>
    <col min="3" max="3" width="13.7109375" style="189" customWidth="1"/>
    <col min="4" max="4" width="10.7109375" style="189" customWidth="1"/>
    <col min="5" max="5" width="24.140625" style="189" customWidth="1"/>
    <col min="6" max="6" width="10.7109375" style="189" customWidth="1"/>
    <col min="7" max="7" width="24.140625" style="189" customWidth="1"/>
    <col min="8" max="8" width="10.7109375" style="189" customWidth="1"/>
    <col min="9" max="9" width="24.140625" style="189" customWidth="1"/>
    <col min="10" max="10" width="10.7109375" style="189" customWidth="1"/>
    <col min="11" max="11" width="24.140625" style="189" customWidth="1"/>
    <col min="12" max="13" width="10.7109375" style="189" customWidth="1"/>
    <col min="14" max="16384" width="11.42578125" style="189"/>
  </cols>
  <sheetData>
    <row r="1" spans="1:13" ht="19.5" customHeight="1" x14ac:dyDescent="0.2">
      <c r="A1" s="187" t="s">
        <v>125</v>
      </c>
      <c r="B1" s="188"/>
      <c r="D1" s="188"/>
      <c r="E1" s="190"/>
      <c r="F1" s="190"/>
      <c r="G1" s="190"/>
      <c r="H1" s="190"/>
      <c r="I1" s="190"/>
      <c r="J1" s="190"/>
      <c r="K1" s="190"/>
      <c r="L1" s="190"/>
      <c r="M1" s="190"/>
    </row>
    <row r="2" spans="1:13" ht="19.5" customHeight="1" x14ac:dyDescent="0.2">
      <c r="A2" s="187" t="s">
        <v>174</v>
      </c>
      <c r="B2" s="188"/>
      <c r="D2" s="188"/>
      <c r="E2" s="190"/>
      <c r="F2" s="190"/>
      <c r="G2" s="190"/>
      <c r="H2" s="190"/>
      <c r="I2" s="190"/>
      <c r="J2" s="190"/>
      <c r="K2" s="190"/>
      <c r="L2" s="190"/>
      <c r="M2" s="190"/>
    </row>
    <row r="3" spans="1:13" x14ac:dyDescent="0.2">
      <c r="A3" s="191"/>
      <c r="E3" s="191"/>
      <c r="F3" s="191"/>
      <c r="G3" s="191"/>
      <c r="H3" s="191"/>
      <c r="I3" s="191"/>
      <c r="J3" s="191"/>
      <c r="K3" s="191"/>
      <c r="L3" s="191"/>
      <c r="M3" s="191"/>
    </row>
    <row r="4" spans="1:13" ht="15.75" customHeight="1" x14ac:dyDescent="0.2">
      <c r="A4" s="87" t="s">
        <v>206</v>
      </c>
      <c r="B4" s="192"/>
      <c r="D4" s="192"/>
      <c r="E4" s="87"/>
      <c r="F4" s="87"/>
      <c r="G4" s="87"/>
      <c r="H4" s="87"/>
      <c r="I4" s="87"/>
      <c r="J4" s="87"/>
      <c r="K4" s="87"/>
      <c r="L4" s="87"/>
      <c r="M4" s="87"/>
    </row>
    <row r="5" spans="1:13" ht="18.75" customHeight="1" x14ac:dyDescent="0.2">
      <c r="A5" s="193" t="s">
        <v>175</v>
      </c>
      <c r="B5" s="194"/>
      <c r="D5" s="194"/>
      <c r="E5" s="193"/>
      <c r="F5" s="193"/>
      <c r="G5" s="193"/>
      <c r="H5" s="193"/>
      <c r="I5" s="193"/>
      <c r="J5" s="193"/>
      <c r="K5" s="193"/>
      <c r="L5" s="193"/>
      <c r="M5" s="193"/>
    </row>
    <row r="6" spans="1:13" x14ac:dyDescent="0.2">
      <c r="A6" s="191"/>
      <c r="E6" s="191"/>
      <c r="F6" s="191"/>
      <c r="G6" s="191"/>
      <c r="H6" s="191"/>
      <c r="I6" s="191"/>
      <c r="J6" s="191"/>
      <c r="K6" s="191"/>
      <c r="L6" s="191"/>
      <c r="M6" s="191"/>
    </row>
    <row r="7" spans="1:13" ht="56.25" customHeight="1" x14ac:dyDescent="0.2">
      <c r="A7" s="328" t="s">
        <v>189</v>
      </c>
      <c r="B7" s="328"/>
      <c r="C7" s="328"/>
      <c r="D7" s="328"/>
      <c r="E7" s="195"/>
      <c r="F7" s="195"/>
      <c r="G7" s="214"/>
      <c r="H7" s="214"/>
      <c r="I7" s="220"/>
      <c r="J7" s="220"/>
      <c r="K7" s="220"/>
      <c r="L7" s="220"/>
      <c r="M7" s="195"/>
    </row>
    <row r="8" spans="1:13" s="199" customFormat="1" x14ac:dyDescent="0.2">
      <c r="A8" s="196"/>
      <c r="B8" s="197"/>
      <c r="C8" s="197"/>
      <c r="D8" s="197"/>
      <c r="E8" s="197"/>
      <c r="F8" s="197"/>
      <c r="G8" s="197"/>
      <c r="H8" s="197"/>
      <c r="I8" s="197"/>
      <c r="J8" s="197"/>
      <c r="K8" s="197"/>
      <c r="L8" s="197"/>
      <c r="M8" s="198"/>
    </row>
    <row r="9" spans="1:13" x14ac:dyDescent="0.2">
      <c r="A9" s="200"/>
      <c r="B9" s="201"/>
      <c r="C9" s="329"/>
      <c r="D9" s="330"/>
      <c r="E9" s="312">
        <v>1</v>
      </c>
      <c r="F9" s="312"/>
      <c r="G9" s="312">
        <v>4</v>
      </c>
      <c r="H9" s="312"/>
      <c r="I9" s="312">
        <v>6</v>
      </c>
      <c r="J9" s="312"/>
      <c r="K9" s="312">
        <v>7</v>
      </c>
      <c r="L9" s="312"/>
      <c r="M9" s="202"/>
    </row>
    <row r="10" spans="1:13" ht="62.25" customHeight="1" x14ac:dyDescent="0.2">
      <c r="A10" s="305" t="s">
        <v>176</v>
      </c>
      <c r="B10" s="307" t="s">
        <v>106</v>
      </c>
      <c r="C10" s="326" t="s">
        <v>400</v>
      </c>
      <c r="D10" s="327"/>
      <c r="E10" s="313" t="s">
        <v>190</v>
      </c>
      <c r="F10" s="313"/>
      <c r="G10" s="313" t="s">
        <v>191</v>
      </c>
      <c r="H10" s="313"/>
      <c r="I10" s="313" t="s">
        <v>192</v>
      </c>
      <c r="J10" s="313"/>
      <c r="K10" s="313" t="s">
        <v>193</v>
      </c>
      <c r="L10" s="313"/>
      <c r="M10" s="203"/>
    </row>
    <row r="11" spans="1:13" ht="25.5" x14ac:dyDescent="0.2">
      <c r="A11" s="306"/>
      <c r="B11" s="308"/>
      <c r="C11" s="149" t="s">
        <v>177</v>
      </c>
      <c r="D11" s="149" t="s">
        <v>97</v>
      </c>
      <c r="E11" s="149" t="s">
        <v>177</v>
      </c>
      <c r="F11" s="149" t="s">
        <v>97</v>
      </c>
      <c r="G11" s="149" t="s">
        <v>177</v>
      </c>
      <c r="H11" s="149" t="s">
        <v>97</v>
      </c>
      <c r="I11" s="149" t="s">
        <v>177</v>
      </c>
      <c r="J11" s="149" t="s">
        <v>97</v>
      </c>
      <c r="K11" s="149" t="s">
        <v>177</v>
      </c>
      <c r="L11" s="149" t="s">
        <v>97</v>
      </c>
      <c r="M11" s="204"/>
    </row>
    <row r="12" spans="1:13" x14ac:dyDescent="0.2">
      <c r="A12" s="205"/>
      <c r="B12" s="206"/>
      <c r="C12" s="206"/>
      <c r="D12" s="206"/>
      <c r="E12" s="206"/>
      <c r="F12" s="206"/>
      <c r="G12" s="206"/>
      <c r="H12" s="206"/>
      <c r="I12" s="206"/>
      <c r="J12" s="206"/>
      <c r="K12" s="206"/>
      <c r="L12" s="206"/>
      <c r="M12" s="198"/>
    </row>
    <row r="13" spans="1:13" ht="22.5" customHeight="1" x14ac:dyDescent="0.2">
      <c r="A13" s="325"/>
      <c r="B13" s="252" t="s">
        <v>227</v>
      </c>
      <c r="C13" s="251"/>
      <c r="D13" s="251"/>
      <c r="E13" s="251"/>
      <c r="F13" s="251"/>
      <c r="G13" s="251"/>
      <c r="H13" s="251"/>
      <c r="I13" s="251"/>
      <c r="J13" s="251"/>
      <c r="K13" s="251"/>
      <c r="L13" s="251"/>
      <c r="M13" s="204"/>
    </row>
    <row r="14" spans="1:13" ht="115.5" customHeight="1" x14ac:dyDescent="0.2">
      <c r="A14" s="325"/>
      <c r="B14" s="250" t="s">
        <v>228</v>
      </c>
      <c r="C14" s="149" t="s">
        <v>107</v>
      </c>
      <c r="D14" s="149">
        <v>100</v>
      </c>
      <c r="E14" s="149" t="s">
        <v>248</v>
      </c>
      <c r="F14" s="149">
        <v>100</v>
      </c>
      <c r="G14" s="149"/>
      <c r="H14" s="149">
        <v>100</v>
      </c>
      <c r="I14" s="149"/>
      <c r="J14" s="149"/>
      <c r="K14" s="149"/>
      <c r="L14" s="149"/>
      <c r="M14" s="204"/>
    </row>
    <row r="15" spans="1:13" ht="199.5" customHeight="1" x14ac:dyDescent="0.2">
      <c r="A15" s="325"/>
      <c r="B15" s="250" t="s">
        <v>229</v>
      </c>
      <c r="C15" s="149" t="s">
        <v>107</v>
      </c>
      <c r="D15" s="207">
        <v>200</v>
      </c>
      <c r="E15" s="149"/>
      <c r="F15" s="207"/>
      <c r="G15" s="149" t="s">
        <v>249</v>
      </c>
      <c r="H15" s="207">
        <v>200</v>
      </c>
      <c r="I15" s="149" t="s">
        <v>250</v>
      </c>
      <c r="J15" s="207">
        <v>200</v>
      </c>
      <c r="K15" s="149" t="s">
        <v>251</v>
      </c>
      <c r="L15" s="207">
        <v>200</v>
      </c>
      <c r="M15" s="204"/>
    </row>
    <row r="16" spans="1:13" ht="18" customHeight="1" x14ac:dyDescent="0.2">
      <c r="A16" s="200"/>
      <c r="B16" s="219" t="s">
        <v>165</v>
      </c>
      <c r="C16" s="148" t="s">
        <v>178</v>
      </c>
      <c r="D16" s="148">
        <f>MAX(D14:D15)</f>
        <v>200</v>
      </c>
      <c r="E16" s="148"/>
      <c r="F16" s="215">
        <f>MAX(F14:F15)</f>
        <v>100</v>
      </c>
      <c r="G16" s="215"/>
      <c r="H16" s="215">
        <f>MAX(H14:H15)</f>
        <v>200</v>
      </c>
      <c r="I16" s="219"/>
      <c r="J16" s="219">
        <f>MAX(J14:J15)</f>
        <v>200</v>
      </c>
      <c r="K16" s="219"/>
      <c r="L16" s="219">
        <f>MAX(L14:L15)</f>
        <v>200</v>
      </c>
      <c r="M16" s="208"/>
    </row>
    <row r="18" spans="1:13" ht="15.75" x14ac:dyDescent="0.2">
      <c r="B18" s="87" t="s">
        <v>113</v>
      </c>
    </row>
    <row r="19" spans="1:13" x14ac:dyDescent="0.2">
      <c r="F19" s="95"/>
      <c r="H19" s="95"/>
      <c r="J19" s="95"/>
      <c r="L19" s="95"/>
    </row>
    <row r="20" spans="1:13" ht="15.75" x14ac:dyDescent="0.2">
      <c r="A20" s="209"/>
      <c r="B20" s="210"/>
      <c r="C20" s="209"/>
      <c r="D20" s="209"/>
      <c r="E20" s="94"/>
      <c r="F20" s="95"/>
      <c r="G20" s="94"/>
      <c r="H20" s="95"/>
      <c r="I20" s="94"/>
      <c r="J20" s="95"/>
      <c r="K20" s="94"/>
      <c r="L20" s="95"/>
      <c r="M20" s="209"/>
    </row>
    <row r="21" spans="1:13" ht="15.75" x14ac:dyDescent="0.2">
      <c r="A21" s="173"/>
      <c r="B21" s="210"/>
      <c r="C21" s="182"/>
      <c r="D21" s="182"/>
      <c r="E21" s="94"/>
      <c r="F21" s="95"/>
      <c r="G21" s="94"/>
      <c r="H21" s="95"/>
      <c r="I21" s="94"/>
      <c r="J21" s="95"/>
      <c r="K21" s="94"/>
      <c r="L21" s="95"/>
      <c r="M21" s="182"/>
    </row>
    <row r="22" spans="1:13" ht="15.75" x14ac:dyDescent="0.25">
      <c r="A22" s="211"/>
      <c r="B22" s="97" t="s">
        <v>114</v>
      </c>
      <c r="C22" s="98"/>
      <c r="D22" s="98"/>
      <c r="E22" s="94"/>
      <c r="F22" s="95"/>
      <c r="G22" s="94"/>
      <c r="H22" s="95"/>
      <c r="I22" s="94"/>
      <c r="J22" s="95"/>
      <c r="K22" s="94"/>
      <c r="L22" s="95"/>
      <c r="M22" s="98"/>
    </row>
    <row r="23" spans="1:13" ht="15.75" x14ac:dyDescent="0.25">
      <c r="A23" s="211"/>
      <c r="B23" s="98" t="s">
        <v>119</v>
      </c>
      <c r="C23" s="98"/>
      <c r="D23" s="98"/>
      <c r="E23" s="94"/>
      <c r="F23" s="95"/>
      <c r="G23" s="94"/>
      <c r="H23" s="95"/>
      <c r="I23" s="94"/>
      <c r="J23" s="95"/>
      <c r="K23" s="94"/>
      <c r="L23" s="95"/>
      <c r="M23" s="98"/>
    </row>
    <row r="24" spans="1:13" ht="15.75" x14ac:dyDescent="0.25">
      <c r="A24" s="211"/>
      <c r="B24" s="98"/>
      <c r="C24" s="98"/>
      <c r="D24" s="98"/>
      <c r="E24" s="97"/>
      <c r="F24" s="95"/>
      <c r="G24" s="97"/>
      <c r="H24" s="95"/>
      <c r="I24" s="97"/>
      <c r="J24" s="95"/>
      <c r="K24" s="97"/>
      <c r="L24" s="95"/>
      <c r="M24" s="98"/>
    </row>
    <row r="25" spans="1:13" ht="15.75" x14ac:dyDescent="0.25">
      <c r="A25" s="97"/>
      <c r="B25" s="98"/>
      <c r="C25" s="98"/>
      <c r="D25" s="98"/>
      <c r="E25" s="98"/>
      <c r="F25" s="95"/>
      <c r="G25" s="98"/>
      <c r="H25" s="95"/>
      <c r="I25" s="98"/>
      <c r="J25" s="95"/>
      <c r="K25" s="98"/>
      <c r="L25" s="95"/>
      <c r="M25" s="98"/>
    </row>
    <row r="26" spans="1:13" ht="15.75" x14ac:dyDescent="0.25">
      <c r="B26" s="90"/>
      <c r="C26" s="90"/>
      <c r="D26" s="90"/>
      <c r="E26" s="98"/>
      <c r="F26" s="99"/>
      <c r="G26" s="98"/>
      <c r="H26" s="99"/>
      <c r="I26" s="98"/>
      <c r="J26" s="99"/>
      <c r="K26" s="98"/>
      <c r="L26" s="99"/>
      <c r="M26" s="90"/>
    </row>
    <row r="27" spans="1:13" ht="15.75" x14ac:dyDescent="0.2">
      <c r="B27" s="97" t="s">
        <v>116</v>
      </c>
      <c r="C27" s="95"/>
      <c r="D27" s="95"/>
      <c r="F27" s="97"/>
      <c r="H27" s="97"/>
      <c r="J27" s="97"/>
      <c r="L27" s="97"/>
      <c r="M27" s="95"/>
    </row>
    <row r="28" spans="1:13" ht="15.75" x14ac:dyDescent="0.25">
      <c r="B28" s="98" t="s">
        <v>117</v>
      </c>
      <c r="F28" s="99"/>
      <c r="H28" s="99"/>
      <c r="J28" s="99"/>
      <c r="L28" s="99"/>
    </row>
    <row r="29" spans="1:13" ht="15.75" x14ac:dyDescent="0.25">
      <c r="B29" s="98" t="s">
        <v>118</v>
      </c>
      <c r="F29" s="99"/>
      <c r="H29" s="99"/>
      <c r="J29" s="99"/>
      <c r="L29" s="99"/>
    </row>
  </sheetData>
  <mergeCells count="14">
    <mergeCell ref="A7:D7"/>
    <mergeCell ref="C9:D9"/>
    <mergeCell ref="E9:F9"/>
    <mergeCell ref="G9:H9"/>
    <mergeCell ref="I9:J9"/>
    <mergeCell ref="I10:J10"/>
    <mergeCell ref="A13:A15"/>
    <mergeCell ref="K9:L9"/>
    <mergeCell ref="K10:L10"/>
    <mergeCell ref="A10:A11"/>
    <mergeCell ref="B10:B11"/>
    <mergeCell ref="C10:D10"/>
    <mergeCell ref="E10:F10"/>
    <mergeCell ref="G10:H10"/>
  </mergeCells>
  <conditionalFormatting sqref="D14:D15 F14:F15 M14:M15">
    <cfRule type="cellIs" dxfId="72" priority="37" operator="equal">
      <formula>"NO"</formula>
    </cfRule>
  </conditionalFormatting>
  <conditionalFormatting sqref="C14:C15">
    <cfRule type="cellIs" dxfId="71" priority="34" operator="equal">
      <formula>"NO"</formula>
    </cfRule>
  </conditionalFormatting>
  <conditionalFormatting sqref="E14:E15">
    <cfRule type="cellIs" dxfId="70" priority="23" operator="equal">
      <formula>"NO"</formula>
    </cfRule>
  </conditionalFormatting>
  <conditionalFormatting sqref="H14:H15">
    <cfRule type="cellIs" dxfId="69" priority="11" operator="equal">
      <formula>"NO"</formula>
    </cfRule>
  </conditionalFormatting>
  <conditionalFormatting sqref="G14">
    <cfRule type="cellIs" dxfId="68" priority="10" operator="equal">
      <formula>"NO"</formula>
    </cfRule>
  </conditionalFormatting>
  <conditionalFormatting sqref="G15">
    <cfRule type="cellIs" dxfId="67" priority="9" operator="equal">
      <formula>"NO"</formula>
    </cfRule>
  </conditionalFormatting>
  <conditionalFormatting sqref="K15">
    <cfRule type="cellIs" dxfId="66" priority="1" operator="equal">
      <formula>"NO"</formula>
    </cfRule>
  </conditionalFormatting>
  <conditionalFormatting sqref="J14:J15">
    <cfRule type="cellIs" dxfId="65" priority="7" operator="equal">
      <formula>"NO"</formula>
    </cfRule>
  </conditionalFormatting>
  <conditionalFormatting sqref="I14">
    <cfRule type="cellIs" dxfId="64" priority="6" operator="equal">
      <formula>"NO"</formula>
    </cfRule>
  </conditionalFormatting>
  <conditionalFormatting sqref="I15">
    <cfRule type="cellIs" dxfId="63" priority="5" operator="equal">
      <formula>"NO"</formula>
    </cfRule>
  </conditionalFormatting>
  <conditionalFormatting sqref="L14:L15">
    <cfRule type="cellIs" dxfId="62" priority="4" operator="equal">
      <formula>"NO"</formula>
    </cfRule>
  </conditionalFormatting>
  <conditionalFormatting sqref="K14">
    <cfRule type="cellIs" dxfId="61" priority="3"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135"/>
  <sheetViews>
    <sheetView zoomScale="80" zoomScaleNormal="80" workbookViewId="0">
      <pane xSplit="4" ySplit="7" topLeftCell="E104" activePane="bottomRight" state="frozen"/>
      <selection pane="topRight" activeCell="E1" sqref="E1"/>
      <selection pane="bottomLeft" activeCell="A8" sqref="A8"/>
      <selection pane="bottomRight" activeCell="B130" sqref="B130"/>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6384" width="15" style="1"/>
  </cols>
  <sheetData>
    <row r="1" spans="1:18" x14ac:dyDescent="0.25">
      <c r="A1" s="337" t="s">
        <v>85</v>
      </c>
      <c r="B1" s="337"/>
      <c r="C1" s="337"/>
      <c r="D1" s="337"/>
      <c r="E1" s="337"/>
      <c r="F1" s="337"/>
    </row>
    <row r="2" spans="1:18" x14ac:dyDescent="0.25">
      <c r="A2" s="337" t="s">
        <v>132</v>
      </c>
      <c r="B2" s="337"/>
      <c r="C2" s="337"/>
      <c r="D2" s="337"/>
      <c r="E2" s="337"/>
      <c r="F2" s="337"/>
    </row>
    <row r="3" spans="1:18" ht="18" customHeight="1" x14ac:dyDescent="0.25">
      <c r="A3" s="344" t="s">
        <v>155</v>
      </c>
      <c r="B3" s="344"/>
      <c r="C3" s="344"/>
      <c r="D3" s="344"/>
      <c r="E3" s="344"/>
      <c r="F3" s="344"/>
      <c r="G3" s="331" t="s">
        <v>190</v>
      </c>
      <c r="H3" s="332"/>
      <c r="I3" s="333"/>
      <c r="J3" s="331" t="s">
        <v>191</v>
      </c>
      <c r="K3" s="332"/>
      <c r="L3" s="333"/>
      <c r="M3" s="331" t="s">
        <v>192</v>
      </c>
      <c r="N3" s="332"/>
      <c r="O3" s="333"/>
      <c r="P3" s="331" t="s">
        <v>193</v>
      </c>
      <c r="Q3" s="332"/>
      <c r="R3" s="333"/>
    </row>
    <row r="4" spans="1:18" ht="59.25" customHeight="1" x14ac:dyDescent="0.25">
      <c r="A4" s="344"/>
      <c r="B4" s="344"/>
      <c r="C4" s="344"/>
      <c r="D4" s="344"/>
      <c r="E4" s="344"/>
      <c r="F4" s="344"/>
      <c r="G4" s="334"/>
      <c r="H4" s="335"/>
      <c r="I4" s="336"/>
      <c r="J4" s="334"/>
      <c r="K4" s="335"/>
      <c r="L4" s="336"/>
      <c r="M4" s="334"/>
      <c r="N4" s="335"/>
      <c r="O4" s="336"/>
      <c r="P4" s="334"/>
      <c r="Q4" s="335"/>
      <c r="R4" s="336"/>
    </row>
    <row r="5" spans="1:18" x14ac:dyDescent="0.25">
      <c r="A5" s="344"/>
      <c r="B5" s="344"/>
      <c r="C5" s="344"/>
      <c r="D5" s="344"/>
      <c r="E5" s="344"/>
      <c r="F5" s="344"/>
      <c r="G5" s="337">
        <v>1</v>
      </c>
      <c r="H5" s="337"/>
      <c r="I5" s="337"/>
      <c r="J5" s="337">
        <v>4</v>
      </c>
      <c r="K5" s="337"/>
      <c r="L5" s="337"/>
      <c r="M5" s="337">
        <v>6</v>
      </c>
      <c r="N5" s="337"/>
      <c r="O5" s="337"/>
      <c r="P5" s="337">
        <v>7</v>
      </c>
      <c r="Q5" s="337"/>
      <c r="R5" s="337"/>
    </row>
    <row r="6" spans="1:18" ht="15" customHeight="1" x14ac:dyDescent="0.25">
      <c r="A6" s="343" t="s">
        <v>133</v>
      </c>
      <c r="B6" s="343"/>
      <c r="C6" s="343"/>
      <c r="D6" s="343"/>
      <c r="E6" s="343"/>
      <c r="F6" s="343"/>
      <c r="G6" s="338" t="s">
        <v>64</v>
      </c>
      <c r="H6" s="338" t="s">
        <v>65</v>
      </c>
      <c r="I6" s="130" t="s">
        <v>134</v>
      </c>
      <c r="J6" s="338" t="s">
        <v>64</v>
      </c>
      <c r="K6" s="338" t="s">
        <v>65</v>
      </c>
      <c r="L6" s="217" t="s">
        <v>134</v>
      </c>
      <c r="M6" s="338" t="s">
        <v>64</v>
      </c>
      <c r="N6" s="338" t="s">
        <v>65</v>
      </c>
      <c r="O6" s="217" t="s">
        <v>134</v>
      </c>
      <c r="P6" s="338" t="s">
        <v>64</v>
      </c>
      <c r="Q6" s="338" t="s">
        <v>65</v>
      </c>
      <c r="R6" s="217" t="s">
        <v>134</v>
      </c>
    </row>
    <row r="7" spans="1:18" x14ac:dyDescent="0.25">
      <c r="A7" s="134" t="s">
        <v>0</v>
      </c>
      <c r="B7" s="134" t="s">
        <v>66</v>
      </c>
      <c r="C7" s="134" t="s">
        <v>4</v>
      </c>
      <c r="D7" s="134" t="s">
        <v>1</v>
      </c>
      <c r="E7" s="134" t="s">
        <v>64</v>
      </c>
      <c r="F7" s="134" t="s">
        <v>65</v>
      </c>
      <c r="G7" s="339"/>
      <c r="H7" s="339"/>
      <c r="I7" s="131" t="s">
        <v>135</v>
      </c>
      <c r="J7" s="339"/>
      <c r="K7" s="339"/>
      <c r="L7" s="218" t="s">
        <v>135</v>
      </c>
      <c r="M7" s="339"/>
      <c r="N7" s="339"/>
      <c r="O7" s="218" t="s">
        <v>135</v>
      </c>
      <c r="P7" s="339"/>
      <c r="Q7" s="339"/>
      <c r="R7" s="218" t="s">
        <v>135</v>
      </c>
    </row>
    <row r="8" spans="1:18" s="135" customFormat="1" x14ac:dyDescent="0.25">
      <c r="A8" s="134">
        <v>1</v>
      </c>
      <c r="B8" s="132" t="s">
        <v>260</v>
      </c>
      <c r="C8" s="134"/>
      <c r="D8" s="134"/>
      <c r="E8" s="134"/>
      <c r="F8" s="134"/>
      <c r="G8" s="134"/>
      <c r="H8" s="134"/>
      <c r="I8" s="134"/>
      <c r="J8" s="216"/>
      <c r="K8" s="216"/>
      <c r="L8" s="216"/>
      <c r="M8" s="216"/>
      <c r="N8" s="216"/>
      <c r="O8" s="216"/>
      <c r="P8" s="216"/>
      <c r="Q8" s="216"/>
      <c r="R8" s="216"/>
    </row>
    <row r="9" spans="1:18" ht="15" x14ac:dyDescent="0.25">
      <c r="A9" s="121" t="s">
        <v>261</v>
      </c>
      <c r="B9" s="122" t="s">
        <v>262</v>
      </c>
      <c r="C9" s="121" t="s">
        <v>56</v>
      </c>
      <c r="D9" s="123">
        <v>2137</v>
      </c>
      <c r="E9" s="272">
        <v>3459</v>
      </c>
      <c r="F9" s="272">
        <f t="shared" ref="F9:F73" si="0">ROUND(D9*E9,0)</f>
        <v>7391883</v>
      </c>
      <c r="G9" s="272">
        <v>3442</v>
      </c>
      <c r="H9" s="272">
        <f t="shared" ref="H9:H71" si="1">ROUND($D9*G9,0)</f>
        <v>7355554</v>
      </c>
      <c r="I9" s="118" t="str">
        <f t="shared" ref="I9" si="2">+IF(G9&lt;=$E9,"OK","NO OK")</f>
        <v>OK</v>
      </c>
      <c r="J9" s="272">
        <v>3320</v>
      </c>
      <c r="K9" s="272">
        <f t="shared" ref="K9:K23" si="3">ROUND($D9*J9,0)</f>
        <v>7094840</v>
      </c>
      <c r="L9" s="118" t="str">
        <f t="shared" ref="L9:L23" si="4">+IF(J9&lt;=$E9,"OK","NO OK")</f>
        <v>OK</v>
      </c>
      <c r="M9" s="272">
        <v>3424</v>
      </c>
      <c r="N9" s="272">
        <f t="shared" ref="N9:N23" si="5">ROUND($D9*M9,0)</f>
        <v>7317088</v>
      </c>
      <c r="O9" s="118" t="str">
        <f t="shared" ref="O9:O23" si="6">+IF(M9&lt;=$E9,"OK","NO OK")</f>
        <v>OK</v>
      </c>
      <c r="P9" s="272">
        <v>3459</v>
      </c>
      <c r="Q9" s="272">
        <f t="shared" ref="Q9:Q23" si="7">ROUND($D9*P9,0)</f>
        <v>7391883</v>
      </c>
      <c r="R9" s="118" t="str">
        <f t="shared" ref="R9:R23" si="8">+IF(P9&lt;=$E9,"OK","NO OK")</f>
        <v>OK</v>
      </c>
    </row>
    <row r="10" spans="1:18" ht="38.25" x14ac:dyDescent="0.25">
      <c r="A10" s="121" t="s">
        <v>263</v>
      </c>
      <c r="B10" s="122" t="s">
        <v>264</v>
      </c>
      <c r="C10" s="121" t="s">
        <v>56</v>
      </c>
      <c r="D10" s="123">
        <v>2137</v>
      </c>
      <c r="E10" s="272">
        <v>6050</v>
      </c>
      <c r="F10" s="272">
        <f t="shared" si="0"/>
        <v>12928850</v>
      </c>
      <c r="G10" s="272">
        <v>6020</v>
      </c>
      <c r="H10" s="272">
        <f t="shared" ref="H10:H73" si="9">ROUND($D10*G10,0)</f>
        <v>12864740</v>
      </c>
      <c r="I10" s="118" t="str">
        <f t="shared" ref="I10:I11" si="10">+IF(G10&lt;=$E10,"OK","NO OK")</f>
        <v>OK</v>
      </c>
      <c r="J10" s="272">
        <v>6050</v>
      </c>
      <c r="K10" s="272">
        <f t="shared" si="3"/>
        <v>12928850</v>
      </c>
      <c r="L10" s="118" t="str">
        <f t="shared" si="4"/>
        <v>OK</v>
      </c>
      <c r="M10" s="272">
        <v>5989</v>
      </c>
      <c r="N10" s="272">
        <f t="shared" si="5"/>
        <v>12798493</v>
      </c>
      <c r="O10" s="118" t="str">
        <f t="shared" si="6"/>
        <v>OK</v>
      </c>
      <c r="P10" s="272">
        <v>6050</v>
      </c>
      <c r="Q10" s="272">
        <f t="shared" si="7"/>
        <v>12928850</v>
      </c>
      <c r="R10" s="118" t="str">
        <f t="shared" si="8"/>
        <v>OK</v>
      </c>
    </row>
    <row r="11" spans="1:18" ht="38.25" x14ac:dyDescent="0.25">
      <c r="A11" s="121" t="s">
        <v>265</v>
      </c>
      <c r="B11" s="122" t="s">
        <v>266</v>
      </c>
      <c r="C11" s="121" t="s">
        <v>56</v>
      </c>
      <c r="D11" s="123">
        <v>156</v>
      </c>
      <c r="E11" s="272">
        <v>12983</v>
      </c>
      <c r="F11" s="272">
        <f t="shared" si="0"/>
        <v>2025348</v>
      </c>
      <c r="G11" s="272">
        <v>12918</v>
      </c>
      <c r="H11" s="272">
        <f t="shared" si="1"/>
        <v>2015208</v>
      </c>
      <c r="I11" s="118" t="str">
        <f t="shared" si="10"/>
        <v>OK</v>
      </c>
      <c r="J11" s="272">
        <v>12983</v>
      </c>
      <c r="K11" s="272">
        <f t="shared" si="3"/>
        <v>2025348</v>
      </c>
      <c r="L11" s="118" t="str">
        <f t="shared" si="4"/>
        <v>OK</v>
      </c>
      <c r="M11" s="272">
        <v>12852</v>
      </c>
      <c r="N11" s="272">
        <f t="shared" si="5"/>
        <v>2004912</v>
      </c>
      <c r="O11" s="118" t="str">
        <f t="shared" si="6"/>
        <v>OK</v>
      </c>
      <c r="P11" s="272">
        <v>12983</v>
      </c>
      <c r="Q11" s="272">
        <f t="shared" si="7"/>
        <v>2025348</v>
      </c>
      <c r="R11" s="118" t="str">
        <f t="shared" si="8"/>
        <v>OK</v>
      </c>
    </row>
    <row r="12" spans="1:18" ht="25.5" x14ac:dyDescent="0.25">
      <c r="A12" s="121" t="s">
        <v>267</v>
      </c>
      <c r="B12" s="122" t="s">
        <v>268</v>
      </c>
      <c r="C12" s="121" t="s">
        <v>56</v>
      </c>
      <c r="D12" s="123">
        <v>400</v>
      </c>
      <c r="E12" s="272">
        <v>5894</v>
      </c>
      <c r="F12" s="272">
        <f t="shared" si="0"/>
        <v>2357600</v>
      </c>
      <c r="G12" s="272">
        <v>5865</v>
      </c>
      <c r="H12" s="272">
        <f t="shared" si="9"/>
        <v>2346000</v>
      </c>
      <c r="I12" s="118" t="str">
        <f t="shared" ref="I12:I75" si="11">+IF(G12&lt;=$E12,"OK","NO OK")</f>
        <v>OK</v>
      </c>
      <c r="J12" s="272">
        <v>5894</v>
      </c>
      <c r="K12" s="272">
        <f t="shared" si="3"/>
        <v>2357600</v>
      </c>
      <c r="L12" s="118" t="str">
        <f t="shared" si="4"/>
        <v>OK</v>
      </c>
      <c r="M12" s="272">
        <v>5834</v>
      </c>
      <c r="N12" s="272">
        <f t="shared" si="5"/>
        <v>2333600</v>
      </c>
      <c r="O12" s="118" t="str">
        <f t="shared" si="6"/>
        <v>OK</v>
      </c>
      <c r="P12" s="272">
        <v>5894</v>
      </c>
      <c r="Q12" s="272">
        <f t="shared" si="7"/>
        <v>2357600</v>
      </c>
      <c r="R12" s="118" t="str">
        <f t="shared" si="8"/>
        <v>OK</v>
      </c>
    </row>
    <row r="13" spans="1:18" ht="25.5" x14ac:dyDescent="0.25">
      <c r="A13" s="121" t="s">
        <v>269</v>
      </c>
      <c r="B13" s="122" t="s">
        <v>270</v>
      </c>
      <c r="C13" s="121" t="s">
        <v>257</v>
      </c>
      <c r="D13" s="123">
        <v>25</v>
      </c>
      <c r="E13" s="272">
        <v>55630</v>
      </c>
      <c r="F13" s="272">
        <f t="shared" si="0"/>
        <v>1390750</v>
      </c>
      <c r="G13" s="272">
        <v>55352</v>
      </c>
      <c r="H13" s="272">
        <f t="shared" si="1"/>
        <v>1383800</v>
      </c>
      <c r="I13" s="118" t="str">
        <f t="shared" si="11"/>
        <v>OK</v>
      </c>
      <c r="J13" s="272">
        <v>55630</v>
      </c>
      <c r="K13" s="272">
        <f t="shared" si="3"/>
        <v>1390750</v>
      </c>
      <c r="L13" s="118" t="str">
        <f t="shared" si="4"/>
        <v>OK</v>
      </c>
      <c r="M13" s="272">
        <v>55068</v>
      </c>
      <c r="N13" s="272">
        <f t="shared" si="5"/>
        <v>1376700</v>
      </c>
      <c r="O13" s="118" t="str">
        <f t="shared" si="6"/>
        <v>OK</v>
      </c>
      <c r="P13" s="272">
        <v>55630</v>
      </c>
      <c r="Q13" s="272">
        <f t="shared" si="7"/>
        <v>1390750</v>
      </c>
      <c r="R13" s="118" t="str">
        <f t="shared" si="8"/>
        <v>OK</v>
      </c>
    </row>
    <row r="14" spans="1:18" ht="25.5" x14ac:dyDescent="0.25">
      <c r="A14" s="121" t="s">
        <v>271</v>
      </c>
      <c r="B14" s="122" t="s">
        <v>272</v>
      </c>
      <c r="C14" s="121" t="s">
        <v>257</v>
      </c>
      <c r="D14" s="123">
        <v>68</v>
      </c>
      <c r="E14" s="272">
        <v>35674</v>
      </c>
      <c r="F14" s="272">
        <f t="shared" si="0"/>
        <v>2425832</v>
      </c>
      <c r="G14" s="272">
        <v>35496</v>
      </c>
      <c r="H14" s="272">
        <f t="shared" si="9"/>
        <v>2413728</v>
      </c>
      <c r="I14" s="118" t="str">
        <f t="shared" si="11"/>
        <v>OK</v>
      </c>
      <c r="J14" s="272">
        <v>35674</v>
      </c>
      <c r="K14" s="272">
        <f t="shared" si="3"/>
        <v>2425832</v>
      </c>
      <c r="L14" s="118" t="str">
        <f t="shared" si="4"/>
        <v>OK</v>
      </c>
      <c r="M14" s="272">
        <v>35314</v>
      </c>
      <c r="N14" s="272">
        <f t="shared" si="5"/>
        <v>2401352</v>
      </c>
      <c r="O14" s="118" t="str">
        <f t="shared" si="6"/>
        <v>OK</v>
      </c>
      <c r="P14" s="272">
        <v>35674</v>
      </c>
      <c r="Q14" s="272">
        <f t="shared" si="7"/>
        <v>2425832</v>
      </c>
      <c r="R14" s="118" t="str">
        <f t="shared" si="8"/>
        <v>OK</v>
      </c>
    </row>
    <row r="15" spans="1:18" ht="15" x14ac:dyDescent="0.25">
      <c r="A15" s="121" t="s">
        <v>273</v>
      </c>
      <c r="B15" s="122" t="s">
        <v>274</v>
      </c>
      <c r="C15" s="121" t="s">
        <v>153</v>
      </c>
      <c r="D15" s="123">
        <v>444</v>
      </c>
      <c r="E15" s="272">
        <v>4265</v>
      </c>
      <c r="F15" s="272">
        <f t="shared" si="0"/>
        <v>1893660</v>
      </c>
      <c r="G15" s="272">
        <v>4244</v>
      </c>
      <c r="H15" s="272">
        <f t="shared" si="1"/>
        <v>1884336</v>
      </c>
      <c r="I15" s="118" t="str">
        <f t="shared" si="11"/>
        <v>OK</v>
      </c>
      <c r="J15" s="272">
        <v>4265</v>
      </c>
      <c r="K15" s="272">
        <f t="shared" si="3"/>
        <v>1893660</v>
      </c>
      <c r="L15" s="118" t="str">
        <f t="shared" si="4"/>
        <v>OK</v>
      </c>
      <c r="M15" s="272">
        <v>4222</v>
      </c>
      <c r="N15" s="272">
        <f t="shared" si="5"/>
        <v>1874568</v>
      </c>
      <c r="O15" s="118" t="str">
        <f t="shared" si="6"/>
        <v>OK</v>
      </c>
      <c r="P15" s="272">
        <v>4265</v>
      </c>
      <c r="Q15" s="272">
        <f t="shared" si="7"/>
        <v>1893660</v>
      </c>
      <c r="R15" s="118" t="str">
        <f t="shared" si="8"/>
        <v>OK</v>
      </c>
    </row>
    <row r="16" spans="1:18" ht="25.5" x14ac:dyDescent="0.25">
      <c r="A16" s="121" t="s">
        <v>275</v>
      </c>
      <c r="B16" s="122" t="s">
        <v>276</v>
      </c>
      <c r="C16" s="121" t="s">
        <v>153</v>
      </c>
      <c r="D16" s="123">
        <v>113</v>
      </c>
      <c r="E16" s="272">
        <v>3301</v>
      </c>
      <c r="F16" s="272">
        <f t="shared" si="0"/>
        <v>373013</v>
      </c>
      <c r="G16" s="272">
        <v>3284</v>
      </c>
      <c r="H16" s="272">
        <f t="shared" si="9"/>
        <v>371092</v>
      </c>
      <c r="I16" s="118" t="str">
        <f t="shared" si="11"/>
        <v>OK</v>
      </c>
      <c r="J16" s="272">
        <v>3301</v>
      </c>
      <c r="K16" s="272">
        <f t="shared" si="3"/>
        <v>373013</v>
      </c>
      <c r="L16" s="118" t="str">
        <f t="shared" si="4"/>
        <v>OK</v>
      </c>
      <c r="M16" s="272">
        <v>3268</v>
      </c>
      <c r="N16" s="272">
        <f t="shared" si="5"/>
        <v>369284</v>
      </c>
      <c r="O16" s="118" t="str">
        <f t="shared" si="6"/>
        <v>OK</v>
      </c>
      <c r="P16" s="272">
        <v>3301</v>
      </c>
      <c r="Q16" s="272">
        <f t="shared" si="7"/>
        <v>373013</v>
      </c>
      <c r="R16" s="118" t="str">
        <f t="shared" si="8"/>
        <v>OK</v>
      </c>
    </row>
    <row r="17" spans="1:18" ht="25.5" x14ac:dyDescent="0.25">
      <c r="A17" s="121" t="s">
        <v>277</v>
      </c>
      <c r="B17" s="122" t="s">
        <v>278</v>
      </c>
      <c r="C17" s="121" t="s">
        <v>257</v>
      </c>
      <c r="D17" s="123">
        <v>3</v>
      </c>
      <c r="E17" s="272">
        <v>135528</v>
      </c>
      <c r="F17" s="272">
        <f t="shared" si="0"/>
        <v>406584</v>
      </c>
      <c r="G17" s="272">
        <v>134850</v>
      </c>
      <c r="H17" s="272">
        <f t="shared" si="1"/>
        <v>404550</v>
      </c>
      <c r="I17" s="118" t="str">
        <f t="shared" si="11"/>
        <v>OK</v>
      </c>
      <c r="J17" s="272">
        <v>135528</v>
      </c>
      <c r="K17" s="272">
        <f t="shared" si="3"/>
        <v>406584</v>
      </c>
      <c r="L17" s="118" t="str">
        <f t="shared" si="4"/>
        <v>OK</v>
      </c>
      <c r="M17" s="272">
        <v>134159</v>
      </c>
      <c r="N17" s="272">
        <f t="shared" si="5"/>
        <v>402477</v>
      </c>
      <c r="O17" s="118" t="str">
        <f t="shared" si="6"/>
        <v>OK</v>
      </c>
      <c r="P17" s="272">
        <v>135528</v>
      </c>
      <c r="Q17" s="272">
        <f t="shared" si="7"/>
        <v>406584</v>
      </c>
      <c r="R17" s="118" t="str">
        <f t="shared" si="8"/>
        <v>OK</v>
      </c>
    </row>
    <row r="18" spans="1:18" ht="15" x14ac:dyDescent="0.25">
      <c r="A18" s="136" t="s">
        <v>279</v>
      </c>
      <c r="B18" s="122" t="s">
        <v>280</v>
      </c>
      <c r="C18" s="121" t="s">
        <v>153</v>
      </c>
      <c r="D18" s="123">
        <v>240</v>
      </c>
      <c r="E18" s="272">
        <v>3097</v>
      </c>
      <c r="F18" s="272">
        <f t="shared" si="0"/>
        <v>743280</v>
      </c>
      <c r="G18" s="272">
        <v>3082</v>
      </c>
      <c r="H18" s="272">
        <f t="shared" si="9"/>
        <v>739680</v>
      </c>
      <c r="I18" s="118" t="str">
        <f t="shared" si="11"/>
        <v>OK</v>
      </c>
      <c r="J18" s="272">
        <v>3097</v>
      </c>
      <c r="K18" s="272">
        <f t="shared" si="3"/>
        <v>743280</v>
      </c>
      <c r="L18" s="118" t="str">
        <f t="shared" si="4"/>
        <v>OK</v>
      </c>
      <c r="M18" s="272">
        <v>3066</v>
      </c>
      <c r="N18" s="272">
        <f t="shared" si="5"/>
        <v>735840</v>
      </c>
      <c r="O18" s="118" t="str">
        <f t="shared" si="6"/>
        <v>OK</v>
      </c>
      <c r="P18" s="272">
        <v>3097</v>
      </c>
      <c r="Q18" s="272">
        <f t="shared" si="7"/>
        <v>743280</v>
      </c>
      <c r="R18" s="118" t="str">
        <f t="shared" si="8"/>
        <v>OK</v>
      </c>
    </row>
    <row r="19" spans="1:18" ht="15" x14ac:dyDescent="0.25">
      <c r="A19" s="136" t="s">
        <v>281</v>
      </c>
      <c r="B19" s="122" t="s">
        <v>282</v>
      </c>
      <c r="C19" s="121" t="s">
        <v>153</v>
      </c>
      <c r="D19" s="123">
        <v>61</v>
      </c>
      <c r="E19" s="272">
        <v>7473</v>
      </c>
      <c r="F19" s="272">
        <f t="shared" si="0"/>
        <v>455853</v>
      </c>
      <c r="G19" s="272">
        <v>7436</v>
      </c>
      <c r="H19" s="272">
        <f t="shared" si="1"/>
        <v>453596</v>
      </c>
      <c r="I19" s="118" t="str">
        <f t="shared" si="11"/>
        <v>OK</v>
      </c>
      <c r="J19" s="272">
        <v>7473</v>
      </c>
      <c r="K19" s="272">
        <f t="shared" si="3"/>
        <v>455853</v>
      </c>
      <c r="L19" s="118" t="str">
        <f t="shared" si="4"/>
        <v>OK</v>
      </c>
      <c r="M19" s="272">
        <v>7398</v>
      </c>
      <c r="N19" s="272">
        <f t="shared" si="5"/>
        <v>451278</v>
      </c>
      <c r="O19" s="118" t="str">
        <f t="shared" si="6"/>
        <v>OK</v>
      </c>
      <c r="P19" s="272">
        <v>7473</v>
      </c>
      <c r="Q19" s="272">
        <f t="shared" si="7"/>
        <v>455853</v>
      </c>
      <c r="R19" s="118" t="str">
        <f t="shared" si="8"/>
        <v>OK</v>
      </c>
    </row>
    <row r="20" spans="1:18" ht="15" x14ac:dyDescent="0.25">
      <c r="A20" s="136" t="s">
        <v>283</v>
      </c>
      <c r="B20" s="122" t="s">
        <v>284</v>
      </c>
      <c r="C20" s="121" t="s">
        <v>4</v>
      </c>
      <c r="D20" s="123">
        <v>38</v>
      </c>
      <c r="E20" s="272">
        <v>8904</v>
      </c>
      <c r="F20" s="272">
        <f t="shared" si="0"/>
        <v>338352</v>
      </c>
      <c r="G20" s="272">
        <v>8859</v>
      </c>
      <c r="H20" s="272">
        <f t="shared" si="9"/>
        <v>336642</v>
      </c>
      <c r="I20" s="118" t="str">
        <f t="shared" si="11"/>
        <v>OK</v>
      </c>
      <c r="J20" s="272">
        <v>8904</v>
      </c>
      <c r="K20" s="272">
        <f t="shared" si="3"/>
        <v>338352</v>
      </c>
      <c r="L20" s="118" t="str">
        <f t="shared" si="4"/>
        <v>OK</v>
      </c>
      <c r="M20" s="272">
        <v>8814</v>
      </c>
      <c r="N20" s="272">
        <f t="shared" si="5"/>
        <v>334932</v>
      </c>
      <c r="O20" s="118" t="str">
        <f t="shared" si="6"/>
        <v>OK</v>
      </c>
      <c r="P20" s="272">
        <v>8904</v>
      </c>
      <c r="Q20" s="272">
        <f t="shared" si="7"/>
        <v>338352</v>
      </c>
      <c r="R20" s="118" t="str">
        <f t="shared" si="8"/>
        <v>OK</v>
      </c>
    </row>
    <row r="21" spans="1:18" ht="15" x14ac:dyDescent="0.25">
      <c r="A21" s="136" t="s">
        <v>285</v>
      </c>
      <c r="B21" s="122" t="s">
        <v>286</v>
      </c>
      <c r="C21" s="121" t="s">
        <v>4</v>
      </c>
      <c r="D21" s="123">
        <v>5</v>
      </c>
      <c r="E21" s="272">
        <v>135528</v>
      </c>
      <c r="F21" s="272">
        <f t="shared" si="0"/>
        <v>677640</v>
      </c>
      <c r="G21" s="272">
        <v>134850</v>
      </c>
      <c r="H21" s="272">
        <f t="shared" si="1"/>
        <v>674250</v>
      </c>
      <c r="I21" s="118" t="str">
        <f t="shared" si="11"/>
        <v>OK</v>
      </c>
      <c r="J21" s="272">
        <v>135528</v>
      </c>
      <c r="K21" s="272">
        <f t="shared" si="3"/>
        <v>677640</v>
      </c>
      <c r="L21" s="118" t="str">
        <f t="shared" si="4"/>
        <v>OK</v>
      </c>
      <c r="M21" s="272">
        <v>134159</v>
      </c>
      <c r="N21" s="272">
        <f t="shared" si="5"/>
        <v>670795</v>
      </c>
      <c r="O21" s="118" t="str">
        <f t="shared" si="6"/>
        <v>OK</v>
      </c>
      <c r="P21" s="272">
        <v>135528</v>
      </c>
      <c r="Q21" s="272">
        <f t="shared" si="7"/>
        <v>677640</v>
      </c>
      <c r="R21" s="118" t="str">
        <f t="shared" si="8"/>
        <v>OK</v>
      </c>
    </row>
    <row r="22" spans="1:18" ht="15" x14ac:dyDescent="0.25">
      <c r="A22" s="136" t="s">
        <v>287</v>
      </c>
      <c r="B22" s="122" t="s">
        <v>288</v>
      </c>
      <c r="C22" s="121" t="s">
        <v>153</v>
      </c>
      <c r="D22" s="123">
        <v>242</v>
      </c>
      <c r="E22" s="272">
        <v>5521</v>
      </c>
      <c r="F22" s="272">
        <f t="shared" si="0"/>
        <v>1336082</v>
      </c>
      <c r="G22" s="272">
        <v>5493</v>
      </c>
      <c r="H22" s="272">
        <f t="shared" si="9"/>
        <v>1329306</v>
      </c>
      <c r="I22" s="118" t="str">
        <f t="shared" si="11"/>
        <v>OK</v>
      </c>
      <c r="J22" s="272">
        <v>5521</v>
      </c>
      <c r="K22" s="272">
        <f t="shared" si="3"/>
        <v>1336082</v>
      </c>
      <c r="L22" s="118" t="str">
        <f t="shared" si="4"/>
        <v>OK</v>
      </c>
      <c r="M22" s="272">
        <v>5465</v>
      </c>
      <c r="N22" s="272">
        <f t="shared" si="5"/>
        <v>1322530</v>
      </c>
      <c r="O22" s="118" t="str">
        <f t="shared" si="6"/>
        <v>OK</v>
      </c>
      <c r="P22" s="272">
        <v>5521</v>
      </c>
      <c r="Q22" s="272">
        <f t="shared" si="7"/>
        <v>1336082</v>
      </c>
      <c r="R22" s="118" t="str">
        <f t="shared" si="8"/>
        <v>OK</v>
      </c>
    </row>
    <row r="23" spans="1:18" ht="15" x14ac:dyDescent="0.25">
      <c r="A23" s="136" t="s">
        <v>289</v>
      </c>
      <c r="B23" s="122" t="s">
        <v>290</v>
      </c>
      <c r="C23" s="121" t="s">
        <v>291</v>
      </c>
      <c r="D23" s="123">
        <v>1</v>
      </c>
      <c r="E23" s="272">
        <v>172500</v>
      </c>
      <c r="F23" s="272">
        <f t="shared" si="0"/>
        <v>172500</v>
      </c>
      <c r="G23" s="272">
        <v>171638</v>
      </c>
      <c r="H23" s="272">
        <f t="shared" si="1"/>
        <v>171638</v>
      </c>
      <c r="I23" s="118" t="str">
        <f t="shared" si="11"/>
        <v>OK</v>
      </c>
      <c r="J23" s="272">
        <v>172500</v>
      </c>
      <c r="K23" s="272">
        <f t="shared" si="3"/>
        <v>172500</v>
      </c>
      <c r="L23" s="118" t="str">
        <f t="shared" si="4"/>
        <v>OK</v>
      </c>
      <c r="M23" s="272">
        <v>170758</v>
      </c>
      <c r="N23" s="272">
        <f t="shared" si="5"/>
        <v>170758</v>
      </c>
      <c r="O23" s="118" t="str">
        <f t="shared" si="6"/>
        <v>OK</v>
      </c>
      <c r="P23" s="272">
        <v>172500</v>
      </c>
      <c r="Q23" s="272">
        <f t="shared" si="7"/>
        <v>172500</v>
      </c>
      <c r="R23" s="118" t="str">
        <f t="shared" si="8"/>
        <v>OK</v>
      </c>
    </row>
    <row r="24" spans="1:18" ht="15" x14ac:dyDescent="0.25">
      <c r="A24" s="270"/>
      <c r="B24" s="271" t="s">
        <v>292</v>
      </c>
      <c r="C24" s="121"/>
      <c r="D24" s="123"/>
      <c r="E24" s="272"/>
      <c r="F24" s="274">
        <f>SUM(F9:F23)</f>
        <v>34917227</v>
      </c>
      <c r="G24" s="272"/>
      <c r="H24" s="274">
        <f>SUM(H9:H23)</f>
        <v>34744120</v>
      </c>
      <c r="I24" s="118"/>
      <c r="J24" s="272"/>
      <c r="K24" s="274">
        <f>SUM(K9:K23)</f>
        <v>34620184</v>
      </c>
      <c r="L24" s="118"/>
      <c r="M24" s="272"/>
      <c r="N24" s="274">
        <f>SUM(N9:N23)</f>
        <v>34564607</v>
      </c>
      <c r="O24" s="118"/>
      <c r="P24" s="272"/>
      <c r="Q24" s="274">
        <f>SUM(Q9:Q23)</f>
        <v>34917227</v>
      </c>
      <c r="R24" s="118"/>
    </row>
    <row r="25" spans="1:18" s="135" customFormat="1" x14ac:dyDescent="0.25">
      <c r="A25" s="216">
        <v>2</v>
      </c>
      <c r="B25" s="132" t="s">
        <v>293</v>
      </c>
      <c r="C25" s="216"/>
      <c r="D25" s="216"/>
      <c r="E25" s="273"/>
      <c r="F25" s="273"/>
      <c r="G25" s="273"/>
      <c r="H25" s="272"/>
      <c r="I25" s="216"/>
      <c r="J25" s="273"/>
      <c r="K25" s="272"/>
      <c r="L25" s="216"/>
      <c r="M25" s="273"/>
      <c r="N25" s="272"/>
      <c r="O25" s="216"/>
      <c r="P25" s="273"/>
      <c r="Q25" s="272"/>
      <c r="R25" s="216"/>
    </row>
    <row r="26" spans="1:18" ht="38.25" x14ac:dyDescent="0.25">
      <c r="A26" s="136" t="s">
        <v>294</v>
      </c>
      <c r="B26" s="122" t="s">
        <v>295</v>
      </c>
      <c r="C26" s="121" t="s">
        <v>56</v>
      </c>
      <c r="D26" s="123">
        <v>200</v>
      </c>
      <c r="E26" s="272">
        <v>12983</v>
      </c>
      <c r="F26" s="272">
        <f t="shared" si="0"/>
        <v>2596600</v>
      </c>
      <c r="G26" s="272">
        <v>12918</v>
      </c>
      <c r="H26" s="272">
        <f t="shared" si="9"/>
        <v>2583600</v>
      </c>
      <c r="I26" s="118" t="str">
        <f t="shared" si="11"/>
        <v>OK</v>
      </c>
      <c r="J26" s="272">
        <v>12983</v>
      </c>
      <c r="K26" s="272">
        <f t="shared" ref="K26:K30" si="12">ROUND($D26*J26,0)</f>
        <v>2596600</v>
      </c>
      <c r="L26" s="118" t="str">
        <f t="shared" ref="L26:L30" si="13">+IF(J26&lt;=$E26,"OK","NO OK")</f>
        <v>OK</v>
      </c>
      <c r="M26" s="272">
        <v>12852</v>
      </c>
      <c r="N26" s="272">
        <f t="shared" ref="N26:N30" si="14">ROUND($D26*M26,0)</f>
        <v>2570400</v>
      </c>
      <c r="O26" s="118" t="str">
        <f t="shared" ref="O26:O30" si="15">+IF(M26&lt;=$E26,"OK","NO OK")</f>
        <v>OK</v>
      </c>
      <c r="P26" s="272">
        <v>12983</v>
      </c>
      <c r="Q26" s="272">
        <f t="shared" ref="Q26:Q30" si="16">ROUND($D26*P26,0)</f>
        <v>2596600</v>
      </c>
      <c r="R26" s="118" t="str">
        <f t="shared" ref="R26:R30" si="17">+IF(P26&lt;=$E26,"OK","NO OK")</f>
        <v>OK</v>
      </c>
    </row>
    <row r="27" spans="1:18" ht="15" x14ac:dyDescent="0.25">
      <c r="A27" s="136" t="s">
        <v>296</v>
      </c>
      <c r="B27" s="122" t="s">
        <v>297</v>
      </c>
      <c r="C27" s="121" t="s">
        <v>257</v>
      </c>
      <c r="D27" s="123">
        <v>1</v>
      </c>
      <c r="E27" s="272">
        <v>86554</v>
      </c>
      <c r="F27" s="272">
        <f t="shared" si="0"/>
        <v>86554</v>
      </c>
      <c r="G27" s="272">
        <v>86121</v>
      </c>
      <c r="H27" s="272">
        <f t="shared" si="1"/>
        <v>86121</v>
      </c>
      <c r="I27" s="118" t="str">
        <f t="shared" si="11"/>
        <v>OK</v>
      </c>
      <c r="J27" s="272">
        <v>86554</v>
      </c>
      <c r="K27" s="272">
        <f t="shared" si="12"/>
        <v>86554</v>
      </c>
      <c r="L27" s="118" t="str">
        <f t="shared" si="13"/>
        <v>OK</v>
      </c>
      <c r="M27" s="272">
        <v>85680</v>
      </c>
      <c r="N27" s="272">
        <f t="shared" si="14"/>
        <v>85680</v>
      </c>
      <c r="O27" s="118" t="str">
        <f t="shared" si="15"/>
        <v>OK</v>
      </c>
      <c r="P27" s="272">
        <v>86554</v>
      </c>
      <c r="Q27" s="272">
        <f t="shared" si="16"/>
        <v>86554</v>
      </c>
      <c r="R27" s="118" t="str">
        <f t="shared" si="17"/>
        <v>OK</v>
      </c>
    </row>
    <row r="28" spans="1:18" ht="15" x14ac:dyDescent="0.25">
      <c r="A28" s="136" t="s">
        <v>298</v>
      </c>
      <c r="B28" s="122" t="s">
        <v>299</v>
      </c>
      <c r="C28" s="121" t="s">
        <v>257</v>
      </c>
      <c r="D28" s="123">
        <v>1</v>
      </c>
      <c r="E28" s="272">
        <v>43277</v>
      </c>
      <c r="F28" s="272">
        <f t="shared" si="0"/>
        <v>43277</v>
      </c>
      <c r="G28" s="272">
        <v>43061</v>
      </c>
      <c r="H28" s="272">
        <f t="shared" si="9"/>
        <v>43061</v>
      </c>
      <c r="I28" s="118" t="str">
        <f t="shared" si="11"/>
        <v>OK</v>
      </c>
      <c r="J28" s="272">
        <v>43277</v>
      </c>
      <c r="K28" s="272">
        <f t="shared" si="12"/>
        <v>43277</v>
      </c>
      <c r="L28" s="118" t="str">
        <f t="shared" si="13"/>
        <v>OK</v>
      </c>
      <c r="M28" s="272">
        <v>42840</v>
      </c>
      <c r="N28" s="272">
        <f t="shared" si="14"/>
        <v>42840</v>
      </c>
      <c r="O28" s="118" t="str">
        <f t="shared" si="15"/>
        <v>OK</v>
      </c>
      <c r="P28" s="272">
        <v>43277</v>
      </c>
      <c r="Q28" s="272">
        <f t="shared" si="16"/>
        <v>43277</v>
      </c>
      <c r="R28" s="118" t="str">
        <f t="shared" si="17"/>
        <v>OK</v>
      </c>
    </row>
    <row r="29" spans="1:18" ht="15" x14ac:dyDescent="0.25">
      <c r="A29" s="136" t="s">
        <v>300</v>
      </c>
      <c r="B29" s="122" t="s">
        <v>301</v>
      </c>
      <c r="C29" s="121" t="s">
        <v>257</v>
      </c>
      <c r="D29" s="123">
        <v>5</v>
      </c>
      <c r="E29" s="272">
        <v>35674</v>
      </c>
      <c r="F29" s="272">
        <f t="shared" si="0"/>
        <v>178370</v>
      </c>
      <c r="G29" s="272">
        <v>35496</v>
      </c>
      <c r="H29" s="272">
        <f t="shared" si="1"/>
        <v>177480</v>
      </c>
      <c r="I29" s="118" t="str">
        <f t="shared" si="11"/>
        <v>OK</v>
      </c>
      <c r="J29" s="272">
        <v>35674</v>
      </c>
      <c r="K29" s="272">
        <f t="shared" si="12"/>
        <v>178370</v>
      </c>
      <c r="L29" s="118" t="str">
        <f t="shared" si="13"/>
        <v>OK</v>
      </c>
      <c r="M29" s="272">
        <v>35314</v>
      </c>
      <c r="N29" s="272">
        <f t="shared" si="14"/>
        <v>176570</v>
      </c>
      <c r="O29" s="118" t="str">
        <f t="shared" si="15"/>
        <v>OK</v>
      </c>
      <c r="P29" s="272">
        <v>35674</v>
      </c>
      <c r="Q29" s="272">
        <f t="shared" si="16"/>
        <v>178370</v>
      </c>
      <c r="R29" s="118" t="str">
        <f t="shared" si="17"/>
        <v>OK</v>
      </c>
    </row>
    <row r="30" spans="1:18" ht="15" x14ac:dyDescent="0.25">
      <c r="A30" s="136" t="s">
        <v>302</v>
      </c>
      <c r="B30" s="122" t="s">
        <v>303</v>
      </c>
      <c r="C30" s="121" t="s">
        <v>291</v>
      </c>
      <c r="D30" s="123">
        <v>1</v>
      </c>
      <c r="E30" s="272">
        <v>115000</v>
      </c>
      <c r="F30" s="272">
        <f t="shared" si="0"/>
        <v>115000</v>
      </c>
      <c r="G30" s="272">
        <v>114425</v>
      </c>
      <c r="H30" s="272">
        <f t="shared" si="9"/>
        <v>114425</v>
      </c>
      <c r="I30" s="118" t="str">
        <f t="shared" si="11"/>
        <v>OK</v>
      </c>
      <c r="J30" s="272">
        <v>115000</v>
      </c>
      <c r="K30" s="272">
        <f t="shared" si="12"/>
        <v>115000</v>
      </c>
      <c r="L30" s="118" t="str">
        <f t="shared" si="13"/>
        <v>OK</v>
      </c>
      <c r="M30" s="272">
        <v>113839</v>
      </c>
      <c r="N30" s="272">
        <f t="shared" si="14"/>
        <v>113839</v>
      </c>
      <c r="O30" s="118" t="str">
        <f t="shared" si="15"/>
        <v>OK</v>
      </c>
      <c r="P30" s="272">
        <v>115000</v>
      </c>
      <c r="Q30" s="272">
        <f t="shared" si="16"/>
        <v>115000</v>
      </c>
      <c r="R30" s="118" t="str">
        <f t="shared" si="17"/>
        <v>OK</v>
      </c>
    </row>
    <row r="31" spans="1:18" ht="15" x14ac:dyDescent="0.25">
      <c r="A31" s="270"/>
      <c r="B31" s="271" t="s">
        <v>292</v>
      </c>
      <c r="C31" s="121"/>
      <c r="D31" s="123"/>
      <c r="E31" s="272"/>
      <c r="F31" s="274">
        <f>SUM(F26:F30)</f>
        <v>3019801</v>
      </c>
      <c r="G31" s="272"/>
      <c r="H31" s="274">
        <f>SUM(H26:H30)</f>
        <v>3004687</v>
      </c>
      <c r="I31" s="118"/>
      <c r="J31" s="272"/>
      <c r="K31" s="274">
        <f>SUM(K26:K30)</f>
        <v>3019801</v>
      </c>
      <c r="L31" s="118"/>
      <c r="M31" s="272"/>
      <c r="N31" s="274">
        <f>SUM(N26:N30)</f>
        <v>2989329</v>
      </c>
      <c r="O31" s="118"/>
      <c r="P31" s="272"/>
      <c r="Q31" s="274">
        <f>SUM(Q26:Q30)</f>
        <v>3019801</v>
      </c>
      <c r="R31" s="118"/>
    </row>
    <row r="32" spans="1:18" s="135" customFormat="1" x14ac:dyDescent="0.25">
      <c r="A32" s="216">
        <v>3</v>
      </c>
      <c r="B32" s="132" t="s">
        <v>304</v>
      </c>
      <c r="C32" s="216"/>
      <c r="D32" s="216"/>
      <c r="E32" s="273"/>
      <c r="F32" s="273"/>
      <c r="G32" s="273"/>
      <c r="H32" s="272"/>
      <c r="I32" s="216"/>
      <c r="J32" s="273"/>
      <c r="K32" s="272"/>
      <c r="L32" s="216"/>
      <c r="M32" s="273"/>
      <c r="N32" s="272"/>
      <c r="O32" s="216"/>
      <c r="P32" s="273"/>
      <c r="Q32" s="272"/>
      <c r="R32" s="216"/>
    </row>
    <row r="33" spans="1:18" ht="15" x14ac:dyDescent="0.25">
      <c r="A33" s="136" t="s">
        <v>305</v>
      </c>
      <c r="B33" s="122" t="s">
        <v>262</v>
      </c>
      <c r="C33" s="121" t="s">
        <v>56</v>
      </c>
      <c r="D33" s="123">
        <v>605</v>
      </c>
      <c r="E33" s="272">
        <v>3459</v>
      </c>
      <c r="F33" s="272">
        <f t="shared" si="0"/>
        <v>2092695</v>
      </c>
      <c r="G33" s="272">
        <v>3442</v>
      </c>
      <c r="H33" s="272">
        <f t="shared" si="1"/>
        <v>2082410</v>
      </c>
      <c r="I33" s="118" t="str">
        <f t="shared" si="11"/>
        <v>OK</v>
      </c>
      <c r="J33" s="272">
        <v>3320</v>
      </c>
      <c r="K33" s="272">
        <f t="shared" ref="K33:K43" si="18">ROUND($D33*J33,0)</f>
        <v>2008600</v>
      </c>
      <c r="L33" s="118" t="str">
        <f t="shared" ref="L33:L43" si="19">+IF(J33&lt;=$E33,"OK","NO OK")</f>
        <v>OK</v>
      </c>
      <c r="M33" s="272">
        <v>3424</v>
      </c>
      <c r="N33" s="272">
        <f t="shared" ref="N33:N43" si="20">ROUND($D33*M33,0)</f>
        <v>2071520</v>
      </c>
      <c r="O33" s="118" t="str">
        <f t="shared" ref="O33:O43" si="21">+IF(M33&lt;=$E33,"OK","NO OK")</f>
        <v>OK</v>
      </c>
      <c r="P33" s="272">
        <v>3459</v>
      </c>
      <c r="Q33" s="272">
        <f t="shared" ref="Q33:Q43" si="22">ROUND($D33*P33,0)</f>
        <v>2092695</v>
      </c>
      <c r="R33" s="118" t="str">
        <f t="shared" ref="R33:R43" si="23">+IF(P33&lt;=$E33,"OK","NO OK")</f>
        <v>OK</v>
      </c>
    </row>
    <row r="34" spans="1:18" ht="38.25" x14ac:dyDescent="0.25">
      <c r="A34" s="136" t="s">
        <v>306</v>
      </c>
      <c r="B34" s="122" t="s">
        <v>264</v>
      </c>
      <c r="C34" s="121" t="s">
        <v>56</v>
      </c>
      <c r="D34" s="123">
        <v>605</v>
      </c>
      <c r="E34" s="272">
        <v>6050</v>
      </c>
      <c r="F34" s="272">
        <f t="shared" si="0"/>
        <v>3660250</v>
      </c>
      <c r="G34" s="272">
        <v>6020</v>
      </c>
      <c r="H34" s="272">
        <f t="shared" si="9"/>
        <v>3642100</v>
      </c>
      <c r="I34" s="118" t="str">
        <f t="shared" si="11"/>
        <v>OK</v>
      </c>
      <c r="J34" s="272">
        <v>6050</v>
      </c>
      <c r="K34" s="272">
        <f t="shared" si="18"/>
        <v>3660250</v>
      </c>
      <c r="L34" s="118" t="str">
        <f t="shared" si="19"/>
        <v>OK</v>
      </c>
      <c r="M34" s="272">
        <v>5989</v>
      </c>
      <c r="N34" s="272">
        <f t="shared" si="20"/>
        <v>3623345</v>
      </c>
      <c r="O34" s="118" t="str">
        <f t="shared" si="21"/>
        <v>OK</v>
      </c>
      <c r="P34" s="272">
        <v>6050</v>
      </c>
      <c r="Q34" s="272">
        <f t="shared" si="22"/>
        <v>3660250</v>
      </c>
      <c r="R34" s="118" t="str">
        <f t="shared" si="23"/>
        <v>OK</v>
      </c>
    </row>
    <row r="35" spans="1:18" ht="25.5" x14ac:dyDescent="0.25">
      <c r="A35" s="136" t="s">
        <v>307</v>
      </c>
      <c r="B35" s="122" t="s">
        <v>268</v>
      </c>
      <c r="C35" s="121" t="s">
        <v>56</v>
      </c>
      <c r="D35" s="123">
        <v>112</v>
      </c>
      <c r="E35" s="272">
        <v>5894</v>
      </c>
      <c r="F35" s="272">
        <f t="shared" si="0"/>
        <v>660128</v>
      </c>
      <c r="G35" s="272">
        <v>5865</v>
      </c>
      <c r="H35" s="272">
        <f t="shared" si="1"/>
        <v>656880</v>
      </c>
      <c r="I35" s="118" t="str">
        <f t="shared" si="11"/>
        <v>OK</v>
      </c>
      <c r="J35" s="272">
        <v>5894</v>
      </c>
      <c r="K35" s="272">
        <f t="shared" si="18"/>
        <v>660128</v>
      </c>
      <c r="L35" s="118" t="str">
        <f t="shared" si="19"/>
        <v>OK</v>
      </c>
      <c r="M35" s="272">
        <v>5834</v>
      </c>
      <c r="N35" s="272">
        <f t="shared" si="20"/>
        <v>653408</v>
      </c>
      <c r="O35" s="118" t="str">
        <f t="shared" si="21"/>
        <v>OK</v>
      </c>
      <c r="P35" s="272">
        <v>5894</v>
      </c>
      <c r="Q35" s="272">
        <f t="shared" si="22"/>
        <v>660128</v>
      </c>
      <c r="R35" s="118" t="str">
        <f t="shared" si="23"/>
        <v>OK</v>
      </c>
    </row>
    <row r="36" spans="1:18" ht="25.5" x14ac:dyDescent="0.25">
      <c r="A36" s="136" t="s">
        <v>308</v>
      </c>
      <c r="B36" s="122" t="s">
        <v>309</v>
      </c>
      <c r="C36" s="121" t="s">
        <v>257</v>
      </c>
      <c r="D36" s="123">
        <v>7</v>
      </c>
      <c r="E36" s="272">
        <v>55630</v>
      </c>
      <c r="F36" s="272">
        <f t="shared" si="0"/>
        <v>389410</v>
      </c>
      <c r="G36" s="272">
        <v>55352</v>
      </c>
      <c r="H36" s="272">
        <f t="shared" si="9"/>
        <v>387464</v>
      </c>
      <c r="I36" s="118" t="str">
        <f t="shared" si="11"/>
        <v>OK</v>
      </c>
      <c r="J36" s="272">
        <v>55630</v>
      </c>
      <c r="K36" s="272">
        <f t="shared" si="18"/>
        <v>389410</v>
      </c>
      <c r="L36" s="118" t="str">
        <f t="shared" si="19"/>
        <v>OK</v>
      </c>
      <c r="M36" s="272">
        <v>55068</v>
      </c>
      <c r="N36" s="272">
        <f t="shared" si="20"/>
        <v>385476</v>
      </c>
      <c r="O36" s="118" t="str">
        <f t="shared" si="21"/>
        <v>OK</v>
      </c>
      <c r="P36" s="272">
        <v>55630</v>
      </c>
      <c r="Q36" s="272">
        <f t="shared" si="22"/>
        <v>389410</v>
      </c>
      <c r="R36" s="118" t="str">
        <f t="shared" si="23"/>
        <v>OK</v>
      </c>
    </row>
    <row r="37" spans="1:18" ht="25.5" x14ac:dyDescent="0.25">
      <c r="A37" s="136" t="s">
        <v>310</v>
      </c>
      <c r="B37" s="122" t="s">
        <v>272</v>
      </c>
      <c r="C37" s="121" t="s">
        <v>257</v>
      </c>
      <c r="D37" s="123">
        <v>22</v>
      </c>
      <c r="E37" s="272">
        <v>35674</v>
      </c>
      <c r="F37" s="272">
        <f t="shared" si="0"/>
        <v>784828</v>
      </c>
      <c r="G37" s="272">
        <v>35496</v>
      </c>
      <c r="H37" s="272">
        <f t="shared" si="1"/>
        <v>780912</v>
      </c>
      <c r="I37" s="118" t="str">
        <f t="shared" si="11"/>
        <v>OK</v>
      </c>
      <c r="J37" s="272">
        <v>35674</v>
      </c>
      <c r="K37" s="272">
        <f t="shared" si="18"/>
        <v>784828</v>
      </c>
      <c r="L37" s="118" t="str">
        <f t="shared" si="19"/>
        <v>OK</v>
      </c>
      <c r="M37" s="272">
        <v>35314</v>
      </c>
      <c r="N37" s="272">
        <f t="shared" si="20"/>
        <v>776908</v>
      </c>
      <c r="O37" s="118" t="str">
        <f t="shared" si="21"/>
        <v>OK</v>
      </c>
      <c r="P37" s="272">
        <v>35674</v>
      </c>
      <c r="Q37" s="272">
        <f t="shared" si="22"/>
        <v>784828</v>
      </c>
      <c r="R37" s="118" t="str">
        <f t="shared" si="23"/>
        <v>OK</v>
      </c>
    </row>
    <row r="38" spans="1:18" ht="15" x14ac:dyDescent="0.25">
      <c r="A38" s="136" t="s">
        <v>311</v>
      </c>
      <c r="B38" s="122" t="s">
        <v>274</v>
      </c>
      <c r="C38" s="121" t="s">
        <v>153</v>
      </c>
      <c r="D38" s="123">
        <v>126</v>
      </c>
      <c r="E38" s="272">
        <v>4265</v>
      </c>
      <c r="F38" s="272">
        <f t="shared" si="0"/>
        <v>537390</v>
      </c>
      <c r="G38" s="272">
        <v>4244</v>
      </c>
      <c r="H38" s="272">
        <f t="shared" si="9"/>
        <v>534744</v>
      </c>
      <c r="I38" s="118" t="str">
        <f t="shared" si="11"/>
        <v>OK</v>
      </c>
      <c r="J38" s="272">
        <v>4265</v>
      </c>
      <c r="K38" s="272">
        <f t="shared" si="18"/>
        <v>537390</v>
      </c>
      <c r="L38" s="118" t="str">
        <f t="shared" si="19"/>
        <v>OK</v>
      </c>
      <c r="M38" s="272">
        <v>4222</v>
      </c>
      <c r="N38" s="272">
        <f t="shared" si="20"/>
        <v>531972</v>
      </c>
      <c r="O38" s="118" t="str">
        <f t="shared" si="21"/>
        <v>OK</v>
      </c>
      <c r="P38" s="272">
        <v>4265</v>
      </c>
      <c r="Q38" s="272">
        <f t="shared" si="22"/>
        <v>537390</v>
      </c>
      <c r="R38" s="118" t="str">
        <f t="shared" si="23"/>
        <v>OK</v>
      </c>
    </row>
    <row r="39" spans="1:18" ht="15" x14ac:dyDescent="0.25">
      <c r="A39" s="136" t="s">
        <v>312</v>
      </c>
      <c r="B39" s="122" t="s">
        <v>313</v>
      </c>
      <c r="C39" s="121" t="s">
        <v>257</v>
      </c>
      <c r="D39" s="123">
        <v>22</v>
      </c>
      <c r="E39" s="272">
        <v>32942</v>
      </c>
      <c r="F39" s="272">
        <f t="shared" si="0"/>
        <v>724724</v>
      </c>
      <c r="G39" s="272">
        <v>32777</v>
      </c>
      <c r="H39" s="272">
        <f t="shared" si="1"/>
        <v>721094</v>
      </c>
      <c r="I39" s="118" t="str">
        <f t="shared" si="11"/>
        <v>OK</v>
      </c>
      <c r="J39" s="272">
        <v>32942</v>
      </c>
      <c r="K39" s="272">
        <f t="shared" si="18"/>
        <v>724724</v>
      </c>
      <c r="L39" s="118" t="str">
        <f t="shared" si="19"/>
        <v>OK</v>
      </c>
      <c r="M39" s="272">
        <v>32609</v>
      </c>
      <c r="N39" s="272">
        <f t="shared" si="20"/>
        <v>717398</v>
      </c>
      <c r="O39" s="118" t="str">
        <f t="shared" si="21"/>
        <v>OK</v>
      </c>
      <c r="P39" s="272">
        <v>32942</v>
      </c>
      <c r="Q39" s="272">
        <f t="shared" si="22"/>
        <v>724724</v>
      </c>
      <c r="R39" s="118" t="str">
        <f t="shared" si="23"/>
        <v>OK</v>
      </c>
    </row>
    <row r="40" spans="1:18" ht="25.5" x14ac:dyDescent="0.25">
      <c r="A40" s="136" t="s">
        <v>314</v>
      </c>
      <c r="B40" s="122" t="s">
        <v>278</v>
      </c>
      <c r="C40" s="121" t="s">
        <v>257</v>
      </c>
      <c r="D40" s="123">
        <v>1</v>
      </c>
      <c r="E40" s="272">
        <v>135528</v>
      </c>
      <c r="F40" s="272">
        <f t="shared" si="0"/>
        <v>135528</v>
      </c>
      <c r="G40" s="272">
        <v>134850</v>
      </c>
      <c r="H40" s="272">
        <f t="shared" si="9"/>
        <v>134850</v>
      </c>
      <c r="I40" s="118" t="str">
        <f t="shared" si="11"/>
        <v>OK</v>
      </c>
      <c r="J40" s="272">
        <v>135528</v>
      </c>
      <c r="K40" s="272">
        <f t="shared" si="18"/>
        <v>135528</v>
      </c>
      <c r="L40" s="118" t="str">
        <f t="shared" si="19"/>
        <v>OK</v>
      </c>
      <c r="M40" s="272">
        <v>134159</v>
      </c>
      <c r="N40" s="272">
        <f t="shared" si="20"/>
        <v>134159</v>
      </c>
      <c r="O40" s="118" t="str">
        <f t="shared" si="21"/>
        <v>OK</v>
      </c>
      <c r="P40" s="272">
        <v>135528</v>
      </c>
      <c r="Q40" s="272">
        <f t="shared" si="22"/>
        <v>135528</v>
      </c>
      <c r="R40" s="118" t="str">
        <f t="shared" si="23"/>
        <v>OK</v>
      </c>
    </row>
    <row r="41" spans="1:18" ht="25.5" x14ac:dyDescent="0.25">
      <c r="A41" s="136" t="s">
        <v>315</v>
      </c>
      <c r="B41" s="122" t="s">
        <v>316</v>
      </c>
      <c r="C41" s="121" t="s">
        <v>291</v>
      </c>
      <c r="D41" s="123">
        <v>1</v>
      </c>
      <c r="E41" s="272">
        <v>402500</v>
      </c>
      <c r="F41" s="272">
        <f t="shared" si="0"/>
        <v>402500</v>
      </c>
      <c r="G41" s="272">
        <v>400488</v>
      </c>
      <c r="H41" s="272">
        <f t="shared" si="1"/>
        <v>400488</v>
      </c>
      <c r="I41" s="118" t="str">
        <f t="shared" si="11"/>
        <v>OK</v>
      </c>
      <c r="J41" s="272">
        <v>402500</v>
      </c>
      <c r="K41" s="272">
        <f t="shared" si="18"/>
        <v>402500</v>
      </c>
      <c r="L41" s="118" t="str">
        <f t="shared" si="19"/>
        <v>OK</v>
      </c>
      <c r="M41" s="272">
        <v>398435</v>
      </c>
      <c r="N41" s="272">
        <f t="shared" si="20"/>
        <v>398435</v>
      </c>
      <c r="O41" s="118" t="str">
        <f t="shared" si="21"/>
        <v>OK</v>
      </c>
      <c r="P41" s="272">
        <v>402500</v>
      </c>
      <c r="Q41" s="272">
        <f t="shared" si="22"/>
        <v>402500</v>
      </c>
      <c r="R41" s="118" t="str">
        <f t="shared" si="23"/>
        <v>OK</v>
      </c>
    </row>
    <row r="42" spans="1:18" ht="15" x14ac:dyDescent="0.25">
      <c r="A42" s="136" t="s">
        <v>317</v>
      </c>
      <c r="B42" s="122" t="s">
        <v>280</v>
      </c>
      <c r="C42" s="121" t="s">
        <v>153</v>
      </c>
      <c r="D42" s="123">
        <v>70</v>
      </c>
      <c r="E42" s="272">
        <v>3097</v>
      </c>
      <c r="F42" s="272">
        <f t="shared" si="0"/>
        <v>216790</v>
      </c>
      <c r="G42" s="272">
        <v>3082</v>
      </c>
      <c r="H42" s="272">
        <f t="shared" si="9"/>
        <v>215740</v>
      </c>
      <c r="I42" s="118" t="str">
        <f t="shared" si="11"/>
        <v>OK</v>
      </c>
      <c r="J42" s="272">
        <v>3097</v>
      </c>
      <c r="K42" s="272">
        <f t="shared" si="18"/>
        <v>216790</v>
      </c>
      <c r="L42" s="118" t="str">
        <f t="shared" si="19"/>
        <v>OK</v>
      </c>
      <c r="M42" s="272">
        <v>3066</v>
      </c>
      <c r="N42" s="272">
        <f t="shared" si="20"/>
        <v>214620</v>
      </c>
      <c r="O42" s="118" t="str">
        <f t="shared" si="21"/>
        <v>OK</v>
      </c>
      <c r="P42" s="272">
        <v>3097</v>
      </c>
      <c r="Q42" s="272">
        <f t="shared" si="22"/>
        <v>216790</v>
      </c>
      <c r="R42" s="118" t="str">
        <f t="shared" si="23"/>
        <v>OK</v>
      </c>
    </row>
    <row r="43" spans="1:18" ht="15" x14ac:dyDescent="0.25">
      <c r="A43" s="136" t="s">
        <v>318</v>
      </c>
      <c r="B43" s="122" t="s">
        <v>303</v>
      </c>
      <c r="C43" s="121" t="s">
        <v>291</v>
      </c>
      <c r="D43" s="123">
        <v>1</v>
      </c>
      <c r="E43" s="272">
        <v>115000</v>
      </c>
      <c r="F43" s="272">
        <f t="shared" si="0"/>
        <v>115000</v>
      </c>
      <c r="G43" s="272">
        <v>114425</v>
      </c>
      <c r="H43" s="272">
        <f t="shared" si="1"/>
        <v>114425</v>
      </c>
      <c r="I43" s="118" t="str">
        <f t="shared" si="11"/>
        <v>OK</v>
      </c>
      <c r="J43" s="272">
        <v>115000</v>
      </c>
      <c r="K43" s="272">
        <f t="shared" si="18"/>
        <v>115000</v>
      </c>
      <c r="L43" s="118" t="str">
        <f t="shared" si="19"/>
        <v>OK</v>
      </c>
      <c r="M43" s="272">
        <v>113839</v>
      </c>
      <c r="N43" s="272">
        <f t="shared" si="20"/>
        <v>113839</v>
      </c>
      <c r="O43" s="118" t="str">
        <f t="shared" si="21"/>
        <v>OK</v>
      </c>
      <c r="P43" s="272">
        <v>115000</v>
      </c>
      <c r="Q43" s="272">
        <f t="shared" si="22"/>
        <v>115000</v>
      </c>
      <c r="R43" s="118" t="str">
        <f t="shared" si="23"/>
        <v>OK</v>
      </c>
    </row>
    <row r="44" spans="1:18" ht="15" x14ac:dyDescent="0.25">
      <c r="A44" s="270"/>
      <c r="B44" s="271" t="s">
        <v>292</v>
      </c>
      <c r="C44" s="121"/>
      <c r="D44" s="123"/>
      <c r="E44" s="272"/>
      <c r="F44" s="274">
        <f>SUM(F33:F43)</f>
        <v>9719243</v>
      </c>
      <c r="G44" s="272"/>
      <c r="H44" s="274">
        <f>SUM(H33:H43)</f>
        <v>9671107</v>
      </c>
      <c r="I44" s="118"/>
      <c r="J44" s="272"/>
      <c r="K44" s="274">
        <f>SUM(K33:K43)</f>
        <v>9635148</v>
      </c>
      <c r="L44" s="118"/>
      <c r="M44" s="272"/>
      <c r="N44" s="274">
        <f>SUM(N33:N43)</f>
        <v>9621080</v>
      </c>
      <c r="O44" s="118"/>
      <c r="P44" s="272"/>
      <c r="Q44" s="274">
        <f>SUM(Q33:Q43)</f>
        <v>9719243</v>
      </c>
      <c r="R44" s="118"/>
    </row>
    <row r="45" spans="1:18" s="135" customFormat="1" x14ac:dyDescent="0.25">
      <c r="A45" s="216">
        <v>4</v>
      </c>
      <c r="B45" s="132" t="s">
        <v>319</v>
      </c>
      <c r="C45" s="216"/>
      <c r="D45" s="216"/>
      <c r="E45" s="273"/>
      <c r="F45" s="273"/>
      <c r="G45" s="273"/>
      <c r="H45" s="272"/>
      <c r="I45" s="216"/>
      <c r="J45" s="273"/>
      <c r="K45" s="272"/>
      <c r="L45" s="216"/>
      <c r="M45" s="273"/>
      <c r="N45" s="272"/>
      <c r="O45" s="216"/>
      <c r="P45" s="273"/>
      <c r="Q45" s="272"/>
      <c r="R45" s="216"/>
    </row>
    <row r="46" spans="1:18" ht="15" x14ac:dyDescent="0.25">
      <c r="A46" s="136" t="s">
        <v>320</v>
      </c>
      <c r="B46" s="122" t="s">
        <v>262</v>
      </c>
      <c r="C46" s="121" t="s">
        <v>56</v>
      </c>
      <c r="D46" s="123">
        <v>93</v>
      </c>
      <c r="E46" s="272">
        <v>3459</v>
      </c>
      <c r="F46" s="272">
        <f t="shared" si="0"/>
        <v>321687</v>
      </c>
      <c r="G46" s="272">
        <v>3442</v>
      </c>
      <c r="H46" s="272">
        <f t="shared" si="9"/>
        <v>320106</v>
      </c>
      <c r="I46" s="118" t="str">
        <f t="shared" si="11"/>
        <v>OK</v>
      </c>
      <c r="J46" s="272">
        <v>3320</v>
      </c>
      <c r="K46" s="272">
        <f t="shared" ref="K46:K54" si="24">ROUND($D46*J46,0)</f>
        <v>308760</v>
      </c>
      <c r="L46" s="118" t="str">
        <f t="shared" ref="L46:L54" si="25">+IF(J46&lt;=$E46,"OK","NO OK")</f>
        <v>OK</v>
      </c>
      <c r="M46" s="272">
        <v>3424</v>
      </c>
      <c r="N46" s="272">
        <f t="shared" ref="N46:N54" si="26">ROUND($D46*M46,0)</f>
        <v>318432</v>
      </c>
      <c r="O46" s="118" t="str">
        <f t="shared" ref="O46:O54" si="27">+IF(M46&lt;=$E46,"OK","NO OK")</f>
        <v>OK</v>
      </c>
      <c r="P46" s="272">
        <v>3459</v>
      </c>
      <c r="Q46" s="272">
        <f t="shared" ref="Q46:Q54" si="28">ROUND($D46*P46,0)</f>
        <v>321687</v>
      </c>
      <c r="R46" s="118" t="str">
        <f t="shared" ref="R46:R54" si="29">+IF(P46&lt;=$E46,"OK","NO OK")</f>
        <v>OK</v>
      </c>
    </row>
    <row r="47" spans="1:18" ht="38.25" x14ac:dyDescent="0.25">
      <c r="A47" s="136" t="s">
        <v>321</v>
      </c>
      <c r="B47" s="122" t="s">
        <v>322</v>
      </c>
      <c r="C47" s="121" t="s">
        <v>56</v>
      </c>
      <c r="D47" s="123">
        <v>93</v>
      </c>
      <c r="E47" s="272">
        <v>8542</v>
      </c>
      <c r="F47" s="272">
        <f t="shared" si="0"/>
        <v>794406</v>
      </c>
      <c r="G47" s="272">
        <v>8499</v>
      </c>
      <c r="H47" s="272">
        <f t="shared" si="1"/>
        <v>790407</v>
      </c>
      <c r="I47" s="118" t="str">
        <f t="shared" si="11"/>
        <v>OK</v>
      </c>
      <c r="J47" s="272">
        <v>8542</v>
      </c>
      <c r="K47" s="272">
        <f t="shared" si="24"/>
        <v>794406</v>
      </c>
      <c r="L47" s="118" t="str">
        <f t="shared" si="25"/>
        <v>OK</v>
      </c>
      <c r="M47" s="272">
        <v>8456</v>
      </c>
      <c r="N47" s="272">
        <f t="shared" si="26"/>
        <v>786408</v>
      </c>
      <c r="O47" s="118" t="str">
        <f t="shared" si="27"/>
        <v>OK</v>
      </c>
      <c r="P47" s="272">
        <v>8542</v>
      </c>
      <c r="Q47" s="272">
        <f t="shared" si="28"/>
        <v>794406</v>
      </c>
      <c r="R47" s="118" t="str">
        <f t="shared" si="29"/>
        <v>OK</v>
      </c>
    </row>
    <row r="48" spans="1:18" ht="25.5" x14ac:dyDescent="0.25">
      <c r="A48" s="136" t="s">
        <v>323</v>
      </c>
      <c r="B48" s="122" t="s">
        <v>324</v>
      </c>
      <c r="C48" s="121" t="s">
        <v>257</v>
      </c>
      <c r="D48" s="123">
        <v>4</v>
      </c>
      <c r="E48" s="272">
        <v>55630</v>
      </c>
      <c r="F48" s="272">
        <f t="shared" si="0"/>
        <v>222520</v>
      </c>
      <c r="G48" s="272">
        <v>55352</v>
      </c>
      <c r="H48" s="272">
        <f t="shared" si="9"/>
        <v>221408</v>
      </c>
      <c r="I48" s="118" t="str">
        <f t="shared" si="11"/>
        <v>OK</v>
      </c>
      <c r="J48" s="272">
        <v>55630</v>
      </c>
      <c r="K48" s="272">
        <f t="shared" si="24"/>
        <v>222520</v>
      </c>
      <c r="L48" s="118" t="str">
        <f t="shared" si="25"/>
        <v>OK</v>
      </c>
      <c r="M48" s="272">
        <v>55068</v>
      </c>
      <c r="N48" s="272">
        <f t="shared" si="26"/>
        <v>220272</v>
      </c>
      <c r="O48" s="118" t="str">
        <f t="shared" si="27"/>
        <v>OK</v>
      </c>
      <c r="P48" s="272">
        <v>55630</v>
      </c>
      <c r="Q48" s="272">
        <f t="shared" si="28"/>
        <v>222520</v>
      </c>
      <c r="R48" s="118" t="str">
        <f t="shared" si="29"/>
        <v>OK</v>
      </c>
    </row>
    <row r="49" spans="1:18" ht="25.5" x14ac:dyDescent="0.25">
      <c r="A49" s="136" t="s">
        <v>325</v>
      </c>
      <c r="B49" s="122" t="s">
        <v>316</v>
      </c>
      <c r="C49" s="121" t="s">
        <v>291</v>
      </c>
      <c r="D49" s="123">
        <v>1</v>
      </c>
      <c r="E49" s="272">
        <v>172500</v>
      </c>
      <c r="F49" s="272">
        <f t="shared" si="0"/>
        <v>172500</v>
      </c>
      <c r="G49" s="272">
        <v>171638</v>
      </c>
      <c r="H49" s="272">
        <f t="shared" si="1"/>
        <v>171638</v>
      </c>
      <c r="I49" s="118" t="str">
        <f t="shared" si="11"/>
        <v>OK</v>
      </c>
      <c r="J49" s="272">
        <v>172500</v>
      </c>
      <c r="K49" s="272">
        <f t="shared" si="24"/>
        <v>172500</v>
      </c>
      <c r="L49" s="118" t="str">
        <f t="shared" si="25"/>
        <v>OK</v>
      </c>
      <c r="M49" s="272">
        <v>170758</v>
      </c>
      <c r="N49" s="272">
        <f t="shared" si="26"/>
        <v>170758</v>
      </c>
      <c r="O49" s="118" t="str">
        <f t="shared" si="27"/>
        <v>OK</v>
      </c>
      <c r="P49" s="272">
        <v>172500</v>
      </c>
      <c r="Q49" s="272">
        <f t="shared" si="28"/>
        <v>172500</v>
      </c>
      <c r="R49" s="118" t="str">
        <f t="shared" si="29"/>
        <v>OK</v>
      </c>
    </row>
    <row r="50" spans="1:18" ht="15" x14ac:dyDescent="0.25">
      <c r="A50" s="136" t="s">
        <v>326</v>
      </c>
      <c r="B50" s="122" t="s">
        <v>280</v>
      </c>
      <c r="C50" s="121" t="s">
        <v>153</v>
      </c>
      <c r="D50" s="123">
        <v>120</v>
      </c>
      <c r="E50" s="272">
        <v>3097</v>
      </c>
      <c r="F50" s="272">
        <f t="shared" si="0"/>
        <v>371640</v>
      </c>
      <c r="G50" s="272">
        <v>3082</v>
      </c>
      <c r="H50" s="272">
        <f t="shared" si="9"/>
        <v>369840</v>
      </c>
      <c r="I50" s="118" t="str">
        <f t="shared" si="11"/>
        <v>OK</v>
      </c>
      <c r="J50" s="272">
        <v>3097</v>
      </c>
      <c r="K50" s="272">
        <f t="shared" si="24"/>
        <v>371640</v>
      </c>
      <c r="L50" s="118" t="str">
        <f t="shared" si="25"/>
        <v>OK</v>
      </c>
      <c r="M50" s="272">
        <v>3066</v>
      </c>
      <c r="N50" s="272">
        <f t="shared" si="26"/>
        <v>367920</v>
      </c>
      <c r="O50" s="118" t="str">
        <f t="shared" si="27"/>
        <v>OK</v>
      </c>
      <c r="P50" s="272">
        <v>3097</v>
      </c>
      <c r="Q50" s="272">
        <f t="shared" si="28"/>
        <v>371640</v>
      </c>
      <c r="R50" s="118" t="str">
        <f t="shared" si="29"/>
        <v>OK</v>
      </c>
    </row>
    <row r="51" spans="1:18" ht="15" x14ac:dyDescent="0.25">
      <c r="A51" s="136" t="s">
        <v>327</v>
      </c>
      <c r="B51" s="122" t="s">
        <v>328</v>
      </c>
      <c r="C51" s="121" t="s">
        <v>153</v>
      </c>
      <c r="D51" s="123">
        <v>28</v>
      </c>
      <c r="E51" s="272">
        <v>4265</v>
      </c>
      <c r="F51" s="272">
        <f t="shared" si="0"/>
        <v>119420</v>
      </c>
      <c r="G51" s="272">
        <v>4244</v>
      </c>
      <c r="H51" s="272">
        <f t="shared" si="1"/>
        <v>118832</v>
      </c>
      <c r="I51" s="118" t="str">
        <f t="shared" si="11"/>
        <v>OK</v>
      </c>
      <c r="J51" s="272">
        <v>4265</v>
      </c>
      <c r="K51" s="272">
        <f t="shared" si="24"/>
        <v>119420</v>
      </c>
      <c r="L51" s="118" t="str">
        <f t="shared" si="25"/>
        <v>OK</v>
      </c>
      <c r="M51" s="272">
        <v>4222</v>
      </c>
      <c r="N51" s="272">
        <f t="shared" si="26"/>
        <v>118216</v>
      </c>
      <c r="O51" s="118" t="str">
        <f t="shared" si="27"/>
        <v>OK</v>
      </c>
      <c r="P51" s="272">
        <v>4265</v>
      </c>
      <c r="Q51" s="272">
        <f t="shared" si="28"/>
        <v>119420</v>
      </c>
      <c r="R51" s="118" t="str">
        <f t="shared" si="29"/>
        <v>OK</v>
      </c>
    </row>
    <row r="52" spans="1:18" ht="15" x14ac:dyDescent="0.25">
      <c r="A52" s="136" t="s">
        <v>329</v>
      </c>
      <c r="B52" s="122" t="s">
        <v>330</v>
      </c>
      <c r="C52" s="121" t="s">
        <v>2</v>
      </c>
      <c r="D52" s="123">
        <v>2</v>
      </c>
      <c r="E52" s="272">
        <v>69000</v>
      </c>
      <c r="F52" s="272">
        <f t="shared" si="0"/>
        <v>138000</v>
      </c>
      <c r="G52" s="272">
        <v>68655</v>
      </c>
      <c r="H52" s="272">
        <f t="shared" si="9"/>
        <v>137310</v>
      </c>
      <c r="I52" s="118" t="str">
        <f t="shared" si="11"/>
        <v>OK</v>
      </c>
      <c r="J52" s="272">
        <v>69000</v>
      </c>
      <c r="K52" s="272">
        <f t="shared" si="24"/>
        <v>138000</v>
      </c>
      <c r="L52" s="118" t="str">
        <f t="shared" si="25"/>
        <v>OK</v>
      </c>
      <c r="M52" s="272">
        <v>68303</v>
      </c>
      <c r="N52" s="272">
        <f t="shared" si="26"/>
        <v>136606</v>
      </c>
      <c r="O52" s="118" t="str">
        <f t="shared" si="27"/>
        <v>OK</v>
      </c>
      <c r="P52" s="272">
        <v>69000</v>
      </c>
      <c r="Q52" s="272">
        <f t="shared" si="28"/>
        <v>138000</v>
      </c>
      <c r="R52" s="118" t="str">
        <f t="shared" si="29"/>
        <v>OK</v>
      </c>
    </row>
    <row r="53" spans="1:18" ht="15" x14ac:dyDescent="0.25">
      <c r="A53" s="136" t="s">
        <v>331</v>
      </c>
      <c r="B53" s="122" t="s">
        <v>332</v>
      </c>
      <c r="C53" s="121" t="s">
        <v>2</v>
      </c>
      <c r="D53" s="123">
        <v>3</v>
      </c>
      <c r="E53" s="272">
        <v>34500</v>
      </c>
      <c r="F53" s="272">
        <f t="shared" si="0"/>
        <v>103500</v>
      </c>
      <c r="G53" s="272">
        <v>34328</v>
      </c>
      <c r="H53" s="272">
        <f t="shared" si="1"/>
        <v>102984</v>
      </c>
      <c r="I53" s="118" t="str">
        <f t="shared" si="11"/>
        <v>OK</v>
      </c>
      <c r="J53" s="272">
        <v>34500</v>
      </c>
      <c r="K53" s="272">
        <f t="shared" si="24"/>
        <v>103500</v>
      </c>
      <c r="L53" s="118" t="str">
        <f t="shared" si="25"/>
        <v>OK</v>
      </c>
      <c r="M53" s="272">
        <v>34152</v>
      </c>
      <c r="N53" s="272">
        <f t="shared" si="26"/>
        <v>102456</v>
      </c>
      <c r="O53" s="118" t="str">
        <f t="shared" si="27"/>
        <v>OK</v>
      </c>
      <c r="P53" s="272">
        <v>34500</v>
      </c>
      <c r="Q53" s="272">
        <f t="shared" si="28"/>
        <v>103500</v>
      </c>
      <c r="R53" s="118" t="str">
        <f t="shared" si="29"/>
        <v>OK</v>
      </c>
    </row>
    <row r="54" spans="1:18" ht="15" x14ac:dyDescent="0.25">
      <c r="A54" s="136" t="s">
        <v>333</v>
      </c>
      <c r="B54" s="122" t="s">
        <v>303</v>
      </c>
      <c r="C54" s="121" t="s">
        <v>291</v>
      </c>
      <c r="D54" s="123">
        <v>1</v>
      </c>
      <c r="E54" s="272">
        <v>57500</v>
      </c>
      <c r="F54" s="272">
        <f t="shared" si="0"/>
        <v>57500</v>
      </c>
      <c r="G54" s="272">
        <v>57213</v>
      </c>
      <c r="H54" s="272">
        <f t="shared" si="9"/>
        <v>57213</v>
      </c>
      <c r="I54" s="118" t="str">
        <f t="shared" si="11"/>
        <v>OK</v>
      </c>
      <c r="J54" s="272">
        <v>57500</v>
      </c>
      <c r="K54" s="272">
        <f t="shared" si="24"/>
        <v>57500</v>
      </c>
      <c r="L54" s="118" t="str">
        <f t="shared" si="25"/>
        <v>OK</v>
      </c>
      <c r="M54" s="272">
        <v>56919</v>
      </c>
      <c r="N54" s="272">
        <f t="shared" si="26"/>
        <v>56919</v>
      </c>
      <c r="O54" s="118" t="str">
        <f t="shared" si="27"/>
        <v>OK</v>
      </c>
      <c r="P54" s="272">
        <v>57500</v>
      </c>
      <c r="Q54" s="272">
        <f t="shared" si="28"/>
        <v>57500</v>
      </c>
      <c r="R54" s="118" t="str">
        <f t="shared" si="29"/>
        <v>OK</v>
      </c>
    </row>
    <row r="55" spans="1:18" ht="15" x14ac:dyDescent="0.25">
      <c r="A55" s="270"/>
      <c r="B55" s="271" t="s">
        <v>292</v>
      </c>
      <c r="C55" s="121"/>
      <c r="D55" s="123"/>
      <c r="E55" s="272"/>
      <c r="F55" s="274">
        <f>SUM(F46:F54)</f>
        <v>2301173</v>
      </c>
      <c r="G55" s="272"/>
      <c r="H55" s="274">
        <f>SUM(H46:H54)</f>
        <v>2289738</v>
      </c>
      <c r="I55" s="118"/>
      <c r="J55" s="272"/>
      <c r="K55" s="274">
        <f>SUM(K46:K54)</f>
        <v>2288246</v>
      </c>
      <c r="L55" s="118"/>
      <c r="M55" s="272"/>
      <c r="N55" s="274">
        <f>SUM(N46:N54)</f>
        <v>2277987</v>
      </c>
      <c r="O55" s="118"/>
      <c r="P55" s="272"/>
      <c r="Q55" s="274">
        <f>SUM(Q46:Q54)</f>
        <v>2301173</v>
      </c>
      <c r="R55" s="118"/>
    </row>
    <row r="56" spans="1:18" s="135" customFormat="1" x14ac:dyDescent="0.25">
      <c r="A56" s="216">
        <v>5</v>
      </c>
      <c r="B56" s="132" t="s">
        <v>334</v>
      </c>
      <c r="C56" s="216"/>
      <c r="D56" s="216"/>
      <c r="E56" s="273"/>
      <c r="F56" s="273"/>
      <c r="G56" s="273"/>
      <c r="H56" s="272"/>
      <c r="I56" s="216"/>
      <c r="J56" s="273"/>
      <c r="K56" s="272"/>
      <c r="L56" s="216"/>
      <c r="M56" s="273"/>
      <c r="N56" s="272"/>
      <c r="O56" s="216"/>
      <c r="P56" s="273"/>
      <c r="Q56" s="272"/>
      <c r="R56" s="216"/>
    </row>
    <row r="57" spans="1:18" ht="38.25" x14ac:dyDescent="0.25">
      <c r="A57" s="136" t="s">
        <v>335</v>
      </c>
      <c r="B57" s="122" t="s">
        <v>264</v>
      </c>
      <c r="C57" s="121" t="s">
        <v>56</v>
      </c>
      <c r="D57" s="123">
        <v>106</v>
      </c>
      <c r="E57" s="272">
        <v>6050</v>
      </c>
      <c r="F57" s="272">
        <f t="shared" si="0"/>
        <v>641300</v>
      </c>
      <c r="G57" s="272">
        <v>6020</v>
      </c>
      <c r="H57" s="272">
        <f t="shared" si="1"/>
        <v>638120</v>
      </c>
      <c r="I57" s="118" t="str">
        <f t="shared" si="11"/>
        <v>OK</v>
      </c>
      <c r="J57" s="272">
        <v>6050</v>
      </c>
      <c r="K57" s="272">
        <f t="shared" ref="K57:K64" si="30">ROUND($D57*J57,0)</f>
        <v>641300</v>
      </c>
      <c r="L57" s="118" t="str">
        <f t="shared" ref="L57:L64" si="31">+IF(J57&lt;=$E57,"OK","NO OK")</f>
        <v>OK</v>
      </c>
      <c r="M57" s="272">
        <v>5989</v>
      </c>
      <c r="N57" s="272">
        <f t="shared" ref="N57:N64" si="32">ROUND($D57*M57,0)</f>
        <v>634834</v>
      </c>
      <c r="O57" s="118" t="str">
        <f t="shared" ref="O57:O64" si="33">+IF(M57&lt;=$E57,"OK","NO OK")</f>
        <v>OK</v>
      </c>
      <c r="P57" s="272">
        <v>6050</v>
      </c>
      <c r="Q57" s="272">
        <f t="shared" ref="Q57:Q64" si="34">ROUND($D57*P57,0)</f>
        <v>641300</v>
      </c>
      <c r="R57" s="118" t="str">
        <f t="shared" ref="R57:R64" si="35">+IF(P57&lt;=$E57,"OK","NO OK")</f>
        <v>OK</v>
      </c>
    </row>
    <row r="58" spans="1:18" ht="25.5" x14ac:dyDescent="0.25">
      <c r="A58" s="136" t="s">
        <v>336</v>
      </c>
      <c r="B58" s="122" t="s">
        <v>337</v>
      </c>
      <c r="C58" s="121" t="s">
        <v>56</v>
      </c>
      <c r="D58" s="123">
        <v>359</v>
      </c>
      <c r="E58" s="272">
        <v>9991</v>
      </c>
      <c r="F58" s="272">
        <f t="shared" si="0"/>
        <v>3586769</v>
      </c>
      <c r="G58" s="272">
        <v>9941</v>
      </c>
      <c r="H58" s="272">
        <f t="shared" si="9"/>
        <v>3568819</v>
      </c>
      <c r="I58" s="118" t="str">
        <f t="shared" si="11"/>
        <v>OK</v>
      </c>
      <c r="J58" s="272">
        <v>9991</v>
      </c>
      <c r="K58" s="272">
        <f t="shared" si="30"/>
        <v>3586769</v>
      </c>
      <c r="L58" s="118" t="str">
        <f t="shared" si="31"/>
        <v>OK</v>
      </c>
      <c r="M58" s="272">
        <v>9890</v>
      </c>
      <c r="N58" s="272">
        <f t="shared" si="32"/>
        <v>3550510</v>
      </c>
      <c r="O58" s="118" t="str">
        <f t="shared" si="33"/>
        <v>OK</v>
      </c>
      <c r="P58" s="272">
        <v>9991</v>
      </c>
      <c r="Q58" s="272">
        <f t="shared" si="34"/>
        <v>3586769</v>
      </c>
      <c r="R58" s="118" t="str">
        <f t="shared" si="35"/>
        <v>OK</v>
      </c>
    </row>
    <row r="59" spans="1:18" ht="25.5" x14ac:dyDescent="0.25">
      <c r="A59" s="136" t="s">
        <v>338</v>
      </c>
      <c r="B59" s="122" t="s">
        <v>270</v>
      </c>
      <c r="C59" s="121" t="s">
        <v>257</v>
      </c>
      <c r="D59" s="123">
        <v>2</v>
      </c>
      <c r="E59" s="272">
        <v>55630</v>
      </c>
      <c r="F59" s="272">
        <f t="shared" si="0"/>
        <v>111260</v>
      </c>
      <c r="G59" s="272">
        <v>55352</v>
      </c>
      <c r="H59" s="272">
        <f t="shared" si="1"/>
        <v>110704</v>
      </c>
      <c r="I59" s="118" t="str">
        <f t="shared" si="11"/>
        <v>OK</v>
      </c>
      <c r="J59" s="272">
        <v>55630</v>
      </c>
      <c r="K59" s="272">
        <f t="shared" si="30"/>
        <v>111260</v>
      </c>
      <c r="L59" s="118" t="str">
        <f t="shared" si="31"/>
        <v>OK</v>
      </c>
      <c r="M59" s="272">
        <v>55068</v>
      </c>
      <c r="N59" s="272">
        <f t="shared" si="32"/>
        <v>110136</v>
      </c>
      <c r="O59" s="118" t="str">
        <f t="shared" si="33"/>
        <v>OK</v>
      </c>
      <c r="P59" s="272">
        <v>55630</v>
      </c>
      <c r="Q59" s="272">
        <f t="shared" si="34"/>
        <v>111260</v>
      </c>
      <c r="R59" s="118" t="str">
        <f t="shared" si="35"/>
        <v>OK</v>
      </c>
    </row>
    <row r="60" spans="1:18" ht="25.5" x14ac:dyDescent="0.25">
      <c r="A60" s="136" t="s">
        <v>339</v>
      </c>
      <c r="B60" s="122" t="s">
        <v>272</v>
      </c>
      <c r="C60" s="121" t="s">
        <v>257</v>
      </c>
      <c r="D60" s="123">
        <v>10</v>
      </c>
      <c r="E60" s="272">
        <v>35674</v>
      </c>
      <c r="F60" s="272">
        <f t="shared" si="0"/>
        <v>356740</v>
      </c>
      <c r="G60" s="272">
        <v>35496</v>
      </c>
      <c r="H60" s="272">
        <f t="shared" si="9"/>
        <v>354960</v>
      </c>
      <c r="I60" s="118" t="str">
        <f t="shared" si="11"/>
        <v>OK</v>
      </c>
      <c r="J60" s="272">
        <v>35674</v>
      </c>
      <c r="K60" s="272">
        <f t="shared" si="30"/>
        <v>356740</v>
      </c>
      <c r="L60" s="118" t="str">
        <f t="shared" si="31"/>
        <v>OK</v>
      </c>
      <c r="M60" s="272">
        <v>35314</v>
      </c>
      <c r="N60" s="272">
        <f t="shared" si="32"/>
        <v>353140</v>
      </c>
      <c r="O60" s="118" t="str">
        <f t="shared" si="33"/>
        <v>OK</v>
      </c>
      <c r="P60" s="272">
        <v>35674</v>
      </c>
      <c r="Q60" s="272">
        <f t="shared" si="34"/>
        <v>356740</v>
      </c>
      <c r="R60" s="118" t="str">
        <f t="shared" si="35"/>
        <v>OK</v>
      </c>
    </row>
    <row r="61" spans="1:18" ht="15" x14ac:dyDescent="0.25">
      <c r="A61" s="136" t="s">
        <v>340</v>
      </c>
      <c r="B61" s="122" t="s">
        <v>274</v>
      </c>
      <c r="C61" s="121" t="s">
        <v>153</v>
      </c>
      <c r="D61" s="123">
        <v>71</v>
      </c>
      <c r="E61" s="272">
        <v>4265</v>
      </c>
      <c r="F61" s="272">
        <f t="shared" si="0"/>
        <v>302815</v>
      </c>
      <c r="G61" s="272">
        <v>4244</v>
      </c>
      <c r="H61" s="272">
        <f t="shared" si="1"/>
        <v>301324</v>
      </c>
      <c r="I61" s="118" t="str">
        <f t="shared" si="11"/>
        <v>OK</v>
      </c>
      <c r="J61" s="272">
        <v>4265</v>
      </c>
      <c r="K61" s="272">
        <f t="shared" si="30"/>
        <v>302815</v>
      </c>
      <c r="L61" s="118" t="str">
        <f t="shared" si="31"/>
        <v>OK</v>
      </c>
      <c r="M61" s="272">
        <v>4222</v>
      </c>
      <c r="N61" s="272">
        <f t="shared" si="32"/>
        <v>299762</v>
      </c>
      <c r="O61" s="118" t="str">
        <f t="shared" si="33"/>
        <v>OK</v>
      </c>
      <c r="P61" s="272">
        <v>4265</v>
      </c>
      <c r="Q61" s="272">
        <f t="shared" si="34"/>
        <v>302815</v>
      </c>
      <c r="R61" s="118" t="str">
        <f t="shared" si="35"/>
        <v>OK</v>
      </c>
    </row>
    <row r="62" spans="1:18" ht="25.5" x14ac:dyDescent="0.25">
      <c r="A62" s="136" t="s">
        <v>341</v>
      </c>
      <c r="B62" s="122" t="s">
        <v>342</v>
      </c>
      <c r="C62" s="121" t="s">
        <v>257</v>
      </c>
      <c r="D62" s="123">
        <v>1</v>
      </c>
      <c r="E62" s="272">
        <v>144000</v>
      </c>
      <c r="F62" s="272">
        <f t="shared" si="0"/>
        <v>144000</v>
      </c>
      <c r="G62" s="272">
        <v>143280</v>
      </c>
      <c r="H62" s="272">
        <f t="shared" si="9"/>
        <v>143280</v>
      </c>
      <c r="I62" s="118" t="str">
        <f t="shared" si="11"/>
        <v>OK</v>
      </c>
      <c r="J62" s="272">
        <v>144000</v>
      </c>
      <c r="K62" s="272">
        <f t="shared" si="30"/>
        <v>144000</v>
      </c>
      <c r="L62" s="118" t="str">
        <f t="shared" si="31"/>
        <v>OK</v>
      </c>
      <c r="M62" s="272">
        <v>142546</v>
      </c>
      <c r="N62" s="272">
        <f t="shared" si="32"/>
        <v>142546</v>
      </c>
      <c r="O62" s="118" t="str">
        <f t="shared" si="33"/>
        <v>OK</v>
      </c>
      <c r="P62" s="272">
        <v>144000</v>
      </c>
      <c r="Q62" s="272">
        <f t="shared" si="34"/>
        <v>144000</v>
      </c>
      <c r="R62" s="118" t="str">
        <f t="shared" si="35"/>
        <v>OK</v>
      </c>
    </row>
    <row r="63" spans="1:18" ht="15" x14ac:dyDescent="0.25">
      <c r="A63" s="136" t="s">
        <v>343</v>
      </c>
      <c r="B63" s="122" t="s">
        <v>288</v>
      </c>
      <c r="C63" s="121" t="s">
        <v>153</v>
      </c>
      <c r="D63" s="123">
        <v>25</v>
      </c>
      <c r="E63" s="272">
        <v>5521</v>
      </c>
      <c r="F63" s="272">
        <f t="shared" si="0"/>
        <v>138025</v>
      </c>
      <c r="G63" s="272">
        <v>5493</v>
      </c>
      <c r="H63" s="272">
        <f t="shared" si="1"/>
        <v>137325</v>
      </c>
      <c r="I63" s="118" t="str">
        <f t="shared" si="11"/>
        <v>OK</v>
      </c>
      <c r="J63" s="272">
        <v>5521</v>
      </c>
      <c r="K63" s="272">
        <f t="shared" si="30"/>
        <v>138025</v>
      </c>
      <c r="L63" s="118" t="str">
        <f t="shared" si="31"/>
        <v>OK</v>
      </c>
      <c r="M63" s="272">
        <v>5465</v>
      </c>
      <c r="N63" s="272">
        <f t="shared" si="32"/>
        <v>136625</v>
      </c>
      <c r="O63" s="118" t="str">
        <f t="shared" si="33"/>
        <v>OK</v>
      </c>
      <c r="P63" s="272">
        <v>5521</v>
      </c>
      <c r="Q63" s="272">
        <f t="shared" si="34"/>
        <v>138025</v>
      </c>
      <c r="R63" s="118" t="str">
        <f t="shared" si="35"/>
        <v>OK</v>
      </c>
    </row>
    <row r="64" spans="1:18" ht="15" x14ac:dyDescent="0.25">
      <c r="A64" s="136" t="s">
        <v>344</v>
      </c>
      <c r="B64" s="122" t="s">
        <v>290</v>
      </c>
      <c r="C64" s="121" t="s">
        <v>291</v>
      </c>
      <c r="D64" s="123">
        <v>1</v>
      </c>
      <c r="E64" s="272">
        <v>120000</v>
      </c>
      <c r="F64" s="272">
        <f t="shared" si="0"/>
        <v>120000</v>
      </c>
      <c r="G64" s="272">
        <v>119400</v>
      </c>
      <c r="H64" s="272">
        <f t="shared" si="9"/>
        <v>119400</v>
      </c>
      <c r="I64" s="118" t="str">
        <f t="shared" si="11"/>
        <v>OK</v>
      </c>
      <c r="J64" s="272">
        <v>120000</v>
      </c>
      <c r="K64" s="272">
        <f t="shared" si="30"/>
        <v>120000</v>
      </c>
      <c r="L64" s="118" t="str">
        <f t="shared" si="31"/>
        <v>OK</v>
      </c>
      <c r="M64" s="272">
        <v>118788</v>
      </c>
      <c r="N64" s="272">
        <f t="shared" si="32"/>
        <v>118788</v>
      </c>
      <c r="O64" s="118" t="str">
        <f t="shared" si="33"/>
        <v>OK</v>
      </c>
      <c r="P64" s="272">
        <v>120000</v>
      </c>
      <c r="Q64" s="272">
        <f t="shared" si="34"/>
        <v>120000</v>
      </c>
      <c r="R64" s="118" t="str">
        <f t="shared" si="35"/>
        <v>OK</v>
      </c>
    </row>
    <row r="65" spans="1:18" ht="15" x14ac:dyDescent="0.25">
      <c r="A65" s="270"/>
      <c r="B65" s="271" t="s">
        <v>292</v>
      </c>
      <c r="C65" s="121"/>
      <c r="D65" s="123"/>
      <c r="E65" s="272"/>
      <c r="F65" s="274">
        <f>SUM(F57:F64)</f>
        <v>5400909</v>
      </c>
      <c r="G65" s="272"/>
      <c r="H65" s="274">
        <f>SUM(H57:H64)</f>
        <v>5373932</v>
      </c>
      <c r="I65" s="118"/>
      <c r="J65" s="272"/>
      <c r="K65" s="274">
        <f>SUM(K57:K64)</f>
        <v>5400909</v>
      </c>
      <c r="L65" s="118"/>
      <c r="M65" s="272"/>
      <c r="N65" s="274">
        <f>SUM(N57:N64)</f>
        <v>5346341</v>
      </c>
      <c r="O65" s="118"/>
      <c r="P65" s="272"/>
      <c r="Q65" s="274">
        <f>SUM(Q57:Q64)</f>
        <v>5400909</v>
      </c>
      <c r="R65" s="118"/>
    </row>
    <row r="66" spans="1:18" s="135" customFormat="1" x14ac:dyDescent="0.25">
      <c r="A66" s="216">
        <v>6</v>
      </c>
      <c r="B66" s="132" t="s">
        <v>345</v>
      </c>
      <c r="C66" s="216"/>
      <c r="D66" s="216"/>
      <c r="E66" s="273"/>
      <c r="F66" s="273"/>
      <c r="G66" s="273"/>
      <c r="H66" s="272"/>
      <c r="I66" s="216"/>
      <c r="J66" s="273"/>
      <c r="K66" s="272"/>
      <c r="L66" s="216"/>
      <c r="M66" s="273"/>
      <c r="N66" s="272"/>
      <c r="O66" s="216"/>
      <c r="P66" s="273"/>
      <c r="Q66" s="272"/>
      <c r="R66" s="216"/>
    </row>
    <row r="67" spans="1:18" ht="15" x14ac:dyDescent="0.25">
      <c r="A67" s="136" t="s">
        <v>346</v>
      </c>
      <c r="B67" s="122" t="s">
        <v>262</v>
      </c>
      <c r="C67" s="121" t="s">
        <v>56</v>
      </c>
      <c r="D67" s="123">
        <v>1275</v>
      </c>
      <c r="E67" s="272">
        <v>3459</v>
      </c>
      <c r="F67" s="272">
        <f t="shared" si="0"/>
        <v>4410225</v>
      </c>
      <c r="G67" s="272">
        <v>3442</v>
      </c>
      <c r="H67" s="272">
        <f t="shared" si="1"/>
        <v>4388550</v>
      </c>
      <c r="I67" s="118" t="str">
        <f t="shared" si="11"/>
        <v>OK</v>
      </c>
      <c r="J67" s="272">
        <v>3320</v>
      </c>
      <c r="K67" s="272">
        <f t="shared" ref="K67:K77" si="36">ROUND($D67*J67,0)</f>
        <v>4233000</v>
      </c>
      <c r="L67" s="118" t="str">
        <f t="shared" ref="L67:L77" si="37">+IF(J67&lt;=$E67,"OK","NO OK")</f>
        <v>OK</v>
      </c>
      <c r="M67" s="272">
        <v>3424</v>
      </c>
      <c r="N67" s="272">
        <f t="shared" ref="N67:N77" si="38">ROUND($D67*M67,0)</f>
        <v>4365600</v>
      </c>
      <c r="O67" s="118" t="str">
        <f t="shared" ref="O67:O77" si="39">+IF(M67&lt;=$E67,"OK","NO OK")</f>
        <v>OK</v>
      </c>
      <c r="P67" s="272">
        <v>3459</v>
      </c>
      <c r="Q67" s="272">
        <f t="shared" ref="Q67:Q77" si="40">ROUND($D67*P67,0)</f>
        <v>4410225</v>
      </c>
      <c r="R67" s="118" t="str">
        <f t="shared" ref="R67:R77" si="41">+IF(P67&lt;=$E67,"OK","NO OK")</f>
        <v>OK</v>
      </c>
    </row>
    <row r="68" spans="1:18" ht="38.25" x14ac:dyDescent="0.25">
      <c r="A68" s="136" t="s">
        <v>347</v>
      </c>
      <c r="B68" s="122" t="s">
        <v>348</v>
      </c>
      <c r="C68" s="121" t="s">
        <v>56</v>
      </c>
      <c r="D68" s="123">
        <v>1275</v>
      </c>
      <c r="E68" s="272">
        <v>6050</v>
      </c>
      <c r="F68" s="272">
        <f t="shared" si="0"/>
        <v>7713750</v>
      </c>
      <c r="G68" s="272">
        <v>6020</v>
      </c>
      <c r="H68" s="272">
        <f t="shared" si="9"/>
        <v>7675500</v>
      </c>
      <c r="I68" s="118" t="str">
        <f t="shared" si="11"/>
        <v>OK</v>
      </c>
      <c r="J68" s="272">
        <v>6050</v>
      </c>
      <c r="K68" s="272">
        <f t="shared" si="36"/>
        <v>7713750</v>
      </c>
      <c r="L68" s="118" t="str">
        <f t="shared" si="37"/>
        <v>OK</v>
      </c>
      <c r="M68" s="272">
        <v>5989</v>
      </c>
      <c r="N68" s="272">
        <f t="shared" si="38"/>
        <v>7635975</v>
      </c>
      <c r="O68" s="118" t="str">
        <f t="shared" si="39"/>
        <v>OK</v>
      </c>
      <c r="P68" s="272">
        <v>6050</v>
      </c>
      <c r="Q68" s="272">
        <f t="shared" si="40"/>
        <v>7713750</v>
      </c>
      <c r="R68" s="118" t="str">
        <f t="shared" si="41"/>
        <v>OK</v>
      </c>
    </row>
    <row r="69" spans="1:18" ht="25.5" x14ac:dyDescent="0.25">
      <c r="A69" s="136" t="s">
        <v>349</v>
      </c>
      <c r="B69" s="122" t="s">
        <v>268</v>
      </c>
      <c r="C69" s="121" t="s">
        <v>56</v>
      </c>
      <c r="D69" s="123">
        <v>203</v>
      </c>
      <c r="E69" s="272">
        <v>5894</v>
      </c>
      <c r="F69" s="272">
        <f t="shared" si="0"/>
        <v>1196482</v>
      </c>
      <c r="G69" s="272">
        <v>5865</v>
      </c>
      <c r="H69" s="272">
        <f t="shared" si="1"/>
        <v>1190595</v>
      </c>
      <c r="I69" s="118" t="str">
        <f t="shared" si="11"/>
        <v>OK</v>
      </c>
      <c r="J69" s="272">
        <v>5894</v>
      </c>
      <c r="K69" s="272">
        <f t="shared" si="36"/>
        <v>1196482</v>
      </c>
      <c r="L69" s="118" t="str">
        <f t="shared" si="37"/>
        <v>OK</v>
      </c>
      <c r="M69" s="272">
        <v>5834</v>
      </c>
      <c r="N69" s="272">
        <f t="shared" si="38"/>
        <v>1184302</v>
      </c>
      <c r="O69" s="118" t="str">
        <f t="shared" si="39"/>
        <v>OK</v>
      </c>
      <c r="P69" s="272">
        <v>5894</v>
      </c>
      <c r="Q69" s="272">
        <f t="shared" si="40"/>
        <v>1196482</v>
      </c>
      <c r="R69" s="118" t="str">
        <f t="shared" si="41"/>
        <v>OK</v>
      </c>
    </row>
    <row r="70" spans="1:18" ht="25.5" x14ac:dyDescent="0.25">
      <c r="A70" s="136" t="s">
        <v>350</v>
      </c>
      <c r="B70" s="122" t="s">
        <v>351</v>
      </c>
      <c r="C70" s="121" t="s">
        <v>56</v>
      </c>
      <c r="D70" s="123">
        <v>10</v>
      </c>
      <c r="E70" s="272">
        <v>23647</v>
      </c>
      <c r="F70" s="272">
        <f t="shared" si="0"/>
        <v>236470</v>
      </c>
      <c r="G70" s="272">
        <v>23529</v>
      </c>
      <c r="H70" s="272">
        <f t="shared" si="9"/>
        <v>235290</v>
      </c>
      <c r="I70" s="118" t="str">
        <f t="shared" si="11"/>
        <v>OK</v>
      </c>
      <c r="J70" s="272">
        <v>23647</v>
      </c>
      <c r="K70" s="272">
        <f t="shared" si="36"/>
        <v>236470</v>
      </c>
      <c r="L70" s="118" t="str">
        <f t="shared" si="37"/>
        <v>OK</v>
      </c>
      <c r="M70" s="272">
        <v>23408</v>
      </c>
      <c r="N70" s="272">
        <f t="shared" si="38"/>
        <v>234080</v>
      </c>
      <c r="O70" s="118" t="str">
        <f t="shared" si="39"/>
        <v>OK</v>
      </c>
      <c r="P70" s="272">
        <v>23647</v>
      </c>
      <c r="Q70" s="272">
        <f t="shared" si="40"/>
        <v>236470</v>
      </c>
      <c r="R70" s="118" t="str">
        <f t="shared" si="41"/>
        <v>OK</v>
      </c>
    </row>
    <row r="71" spans="1:18" ht="25.5" x14ac:dyDescent="0.25">
      <c r="A71" s="136" t="s">
        <v>352</v>
      </c>
      <c r="B71" s="122" t="s">
        <v>324</v>
      </c>
      <c r="C71" s="121" t="s">
        <v>257</v>
      </c>
      <c r="D71" s="123">
        <v>6</v>
      </c>
      <c r="E71" s="272">
        <v>55630</v>
      </c>
      <c r="F71" s="272">
        <f t="shared" si="0"/>
        <v>333780</v>
      </c>
      <c r="G71" s="272">
        <v>55352</v>
      </c>
      <c r="H71" s="272">
        <f t="shared" si="1"/>
        <v>332112</v>
      </c>
      <c r="I71" s="118" t="str">
        <f t="shared" si="11"/>
        <v>OK</v>
      </c>
      <c r="J71" s="272">
        <v>55630</v>
      </c>
      <c r="K71" s="272">
        <f t="shared" si="36"/>
        <v>333780</v>
      </c>
      <c r="L71" s="118" t="str">
        <f t="shared" si="37"/>
        <v>OK</v>
      </c>
      <c r="M71" s="272">
        <v>55068</v>
      </c>
      <c r="N71" s="272">
        <f t="shared" si="38"/>
        <v>330408</v>
      </c>
      <c r="O71" s="118" t="str">
        <f t="shared" si="39"/>
        <v>OK</v>
      </c>
      <c r="P71" s="272">
        <v>55630</v>
      </c>
      <c r="Q71" s="272">
        <f t="shared" si="40"/>
        <v>333780</v>
      </c>
      <c r="R71" s="118" t="str">
        <f t="shared" si="41"/>
        <v>OK</v>
      </c>
    </row>
    <row r="72" spans="1:18" ht="25.5" x14ac:dyDescent="0.25">
      <c r="A72" s="136" t="s">
        <v>353</v>
      </c>
      <c r="B72" s="122" t="s">
        <v>354</v>
      </c>
      <c r="C72" s="121" t="s">
        <v>257</v>
      </c>
      <c r="D72" s="123">
        <v>58</v>
      </c>
      <c r="E72" s="272">
        <v>33674</v>
      </c>
      <c r="F72" s="272">
        <f t="shared" si="0"/>
        <v>1953092</v>
      </c>
      <c r="G72" s="272">
        <v>33506</v>
      </c>
      <c r="H72" s="272">
        <f t="shared" si="9"/>
        <v>1943348</v>
      </c>
      <c r="I72" s="118" t="str">
        <f t="shared" si="11"/>
        <v>OK</v>
      </c>
      <c r="J72" s="272">
        <v>33674</v>
      </c>
      <c r="K72" s="272">
        <f t="shared" si="36"/>
        <v>1953092</v>
      </c>
      <c r="L72" s="118" t="str">
        <f t="shared" si="37"/>
        <v>OK</v>
      </c>
      <c r="M72" s="272">
        <v>33334</v>
      </c>
      <c r="N72" s="272">
        <f t="shared" si="38"/>
        <v>1933372</v>
      </c>
      <c r="O72" s="118" t="str">
        <f t="shared" si="39"/>
        <v>OK</v>
      </c>
      <c r="P72" s="272">
        <v>33674</v>
      </c>
      <c r="Q72" s="272">
        <f t="shared" si="40"/>
        <v>1953092</v>
      </c>
      <c r="R72" s="118" t="str">
        <f t="shared" si="41"/>
        <v>OK</v>
      </c>
    </row>
    <row r="73" spans="1:18" ht="25.5" x14ac:dyDescent="0.25">
      <c r="A73" s="136" t="s">
        <v>355</v>
      </c>
      <c r="B73" s="122" t="s">
        <v>278</v>
      </c>
      <c r="C73" s="121" t="s">
        <v>257</v>
      </c>
      <c r="D73" s="123">
        <v>1</v>
      </c>
      <c r="E73" s="272">
        <v>135528</v>
      </c>
      <c r="F73" s="272">
        <f t="shared" si="0"/>
        <v>135528</v>
      </c>
      <c r="G73" s="272">
        <v>134850</v>
      </c>
      <c r="H73" s="272">
        <f t="shared" si="9"/>
        <v>134850</v>
      </c>
      <c r="I73" s="118" t="str">
        <f t="shared" si="11"/>
        <v>OK</v>
      </c>
      <c r="J73" s="272">
        <v>135528</v>
      </c>
      <c r="K73" s="272">
        <f t="shared" si="36"/>
        <v>135528</v>
      </c>
      <c r="L73" s="118" t="str">
        <f t="shared" si="37"/>
        <v>OK</v>
      </c>
      <c r="M73" s="272">
        <v>134159</v>
      </c>
      <c r="N73" s="272">
        <f t="shared" si="38"/>
        <v>134159</v>
      </c>
      <c r="O73" s="118" t="str">
        <f t="shared" si="39"/>
        <v>OK</v>
      </c>
      <c r="P73" s="272">
        <v>135528</v>
      </c>
      <c r="Q73" s="272">
        <f t="shared" si="40"/>
        <v>135528</v>
      </c>
      <c r="R73" s="118" t="str">
        <f t="shared" si="41"/>
        <v>OK</v>
      </c>
    </row>
    <row r="74" spans="1:18" ht="25.5" x14ac:dyDescent="0.25">
      <c r="A74" s="136" t="s">
        <v>356</v>
      </c>
      <c r="B74" s="122" t="s">
        <v>316</v>
      </c>
      <c r="C74" s="121" t="s">
        <v>291</v>
      </c>
      <c r="D74" s="123">
        <v>1</v>
      </c>
      <c r="E74" s="272">
        <v>420000</v>
      </c>
      <c r="F74" s="272">
        <f t="shared" ref="F74:F88" si="42">ROUND(D74*E74,0)</f>
        <v>420000</v>
      </c>
      <c r="G74" s="272">
        <v>417900</v>
      </c>
      <c r="H74" s="272">
        <f t="shared" ref="H74:H105" si="43">ROUND($D74*G74,0)</f>
        <v>417900</v>
      </c>
      <c r="I74" s="118" t="str">
        <f t="shared" si="11"/>
        <v>OK</v>
      </c>
      <c r="J74" s="272">
        <v>420000</v>
      </c>
      <c r="K74" s="272">
        <f t="shared" si="36"/>
        <v>420000</v>
      </c>
      <c r="L74" s="118" t="str">
        <f t="shared" si="37"/>
        <v>OK</v>
      </c>
      <c r="M74" s="272">
        <v>415758</v>
      </c>
      <c r="N74" s="272">
        <f t="shared" si="38"/>
        <v>415758</v>
      </c>
      <c r="O74" s="118" t="str">
        <f t="shared" si="39"/>
        <v>OK</v>
      </c>
      <c r="P74" s="272">
        <v>420000</v>
      </c>
      <c r="Q74" s="272">
        <f t="shared" si="40"/>
        <v>420000</v>
      </c>
      <c r="R74" s="118" t="str">
        <f t="shared" si="41"/>
        <v>OK</v>
      </c>
    </row>
    <row r="75" spans="1:18" ht="15" x14ac:dyDescent="0.25">
      <c r="A75" s="136" t="s">
        <v>357</v>
      </c>
      <c r="B75" s="122" t="s">
        <v>280</v>
      </c>
      <c r="C75" s="121" t="s">
        <v>153</v>
      </c>
      <c r="D75" s="123">
        <v>140</v>
      </c>
      <c r="E75" s="272">
        <v>3097</v>
      </c>
      <c r="F75" s="272">
        <f t="shared" si="42"/>
        <v>433580</v>
      </c>
      <c r="G75" s="272">
        <v>3082</v>
      </c>
      <c r="H75" s="272">
        <f t="shared" si="43"/>
        <v>431480</v>
      </c>
      <c r="I75" s="118" t="str">
        <f t="shared" si="11"/>
        <v>OK</v>
      </c>
      <c r="J75" s="272">
        <v>3097</v>
      </c>
      <c r="K75" s="272">
        <f t="shared" si="36"/>
        <v>433580</v>
      </c>
      <c r="L75" s="118" t="str">
        <f t="shared" si="37"/>
        <v>OK</v>
      </c>
      <c r="M75" s="272">
        <v>3066</v>
      </c>
      <c r="N75" s="272">
        <f t="shared" si="38"/>
        <v>429240</v>
      </c>
      <c r="O75" s="118" t="str">
        <f t="shared" si="39"/>
        <v>OK</v>
      </c>
      <c r="P75" s="272">
        <v>3097</v>
      </c>
      <c r="Q75" s="272">
        <f t="shared" si="40"/>
        <v>433580</v>
      </c>
      <c r="R75" s="118" t="str">
        <f t="shared" si="41"/>
        <v>OK</v>
      </c>
    </row>
    <row r="76" spans="1:18" ht="15" x14ac:dyDescent="0.25">
      <c r="A76" s="136" t="s">
        <v>358</v>
      </c>
      <c r="B76" s="122" t="s">
        <v>359</v>
      </c>
      <c r="C76" s="121" t="s">
        <v>153</v>
      </c>
      <c r="D76" s="123">
        <v>220</v>
      </c>
      <c r="E76" s="272">
        <v>4265</v>
      </c>
      <c r="F76" s="272">
        <f t="shared" si="42"/>
        <v>938300</v>
      </c>
      <c r="G76" s="272">
        <v>4244</v>
      </c>
      <c r="H76" s="272">
        <f t="shared" si="43"/>
        <v>933680</v>
      </c>
      <c r="I76" s="118" t="str">
        <f t="shared" ref="I76:I87" si="44">+IF(G76&lt;=$E76,"OK","NO OK")</f>
        <v>OK</v>
      </c>
      <c r="J76" s="272">
        <v>4265</v>
      </c>
      <c r="K76" s="272">
        <f t="shared" si="36"/>
        <v>938300</v>
      </c>
      <c r="L76" s="118" t="str">
        <f t="shared" si="37"/>
        <v>OK</v>
      </c>
      <c r="M76" s="272">
        <v>4222</v>
      </c>
      <c r="N76" s="272">
        <f t="shared" si="38"/>
        <v>928840</v>
      </c>
      <c r="O76" s="118" t="str">
        <f t="shared" si="39"/>
        <v>OK</v>
      </c>
      <c r="P76" s="272">
        <v>4265</v>
      </c>
      <c r="Q76" s="272">
        <f t="shared" si="40"/>
        <v>938300</v>
      </c>
      <c r="R76" s="118" t="str">
        <f t="shared" si="41"/>
        <v>OK</v>
      </c>
    </row>
    <row r="77" spans="1:18" ht="15" x14ac:dyDescent="0.25">
      <c r="A77" s="136" t="s">
        <v>360</v>
      </c>
      <c r="B77" s="122" t="s">
        <v>303</v>
      </c>
      <c r="C77" s="121" t="s">
        <v>291</v>
      </c>
      <c r="D77" s="123">
        <v>1</v>
      </c>
      <c r="E77" s="272">
        <v>120000</v>
      </c>
      <c r="F77" s="272">
        <f t="shared" si="42"/>
        <v>120000</v>
      </c>
      <c r="G77" s="272">
        <v>119400</v>
      </c>
      <c r="H77" s="272">
        <f t="shared" si="43"/>
        <v>119400</v>
      </c>
      <c r="I77" s="118" t="str">
        <f t="shared" si="44"/>
        <v>OK</v>
      </c>
      <c r="J77" s="272">
        <v>120000</v>
      </c>
      <c r="K77" s="272">
        <f t="shared" si="36"/>
        <v>120000</v>
      </c>
      <c r="L77" s="118" t="str">
        <f t="shared" si="37"/>
        <v>OK</v>
      </c>
      <c r="M77" s="272">
        <v>118788</v>
      </c>
      <c r="N77" s="272">
        <f t="shared" si="38"/>
        <v>118788</v>
      </c>
      <c r="O77" s="118" t="str">
        <f t="shared" si="39"/>
        <v>OK</v>
      </c>
      <c r="P77" s="272">
        <v>120000</v>
      </c>
      <c r="Q77" s="272">
        <f t="shared" si="40"/>
        <v>120000</v>
      </c>
      <c r="R77" s="118" t="str">
        <f t="shared" si="41"/>
        <v>OK</v>
      </c>
    </row>
    <row r="78" spans="1:18" ht="15" x14ac:dyDescent="0.25">
      <c r="A78" s="270"/>
      <c r="B78" s="271" t="s">
        <v>292</v>
      </c>
      <c r="C78" s="121"/>
      <c r="D78" s="123"/>
      <c r="E78" s="272"/>
      <c r="F78" s="274">
        <f>SUM(F67:F77)</f>
        <v>17891207</v>
      </c>
      <c r="G78" s="272"/>
      <c r="H78" s="274">
        <f>SUM(H67:H77)</f>
        <v>17802705</v>
      </c>
      <c r="I78" s="118"/>
      <c r="J78" s="272"/>
      <c r="K78" s="274">
        <f>SUM(K67:K77)</f>
        <v>17713982</v>
      </c>
      <c r="L78" s="118"/>
      <c r="M78" s="272"/>
      <c r="N78" s="274">
        <f>SUM(N67:N77)</f>
        <v>17710522</v>
      </c>
      <c r="O78" s="118"/>
      <c r="P78" s="272"/>
      <c r="Q78" s="274">
        <f>SUM(Q67:Q77)</f>
        <v>17891207</v>
      </c>
      <c r="R78" s="118"/>
    </row>
    <row r="79" spans="1:18" s="135" customFormat="1" x14ac:dyDescent="0.25">
      <c r="A79" s="216">
        <v>7</v>
      </c>
      <c r="B79" s="132" t="s">
        <v>361</v>
      </c>
      <c r="C79" s="216"/>
      <c r="D79" s="216"/>
      <c r="E79" s="273"/>
      <c r="F79" s="273"/>
      <c r="G79" s="273"/>
      <c r="H79" s="272"/>
      <c r="I79" s="216"/>
      <c r="J79" s="273"/>
      <c r="K79" s="272"/>
      <c r="L79" s="216"/>
      <c r="M79" s="273"/>
      <c r="N79" s="272"/>
      <c r="O79" s="216"/>
      <c r="P79" s="273"/>
      <c r="Q79" s="272"/>
      <c r="R79" s="216"/>
    </row>
    <row r="80" spans="1:18" ht="15" x14ac:dyDescent="0.25">
      <c r="A80" s="136" t="s">
        <v>362</v>
      </c>
      <c r="B80" s="122" t="s">
        <v>262</v>
      </c>
      <c r="C80" s="121" t="s">
        <v>56</v>
      </c>
      <c r="D80" s="123">
        <v>615</v>
      </c>
      <c r="E80" s="272">
        <v>3459</v>
      </c>
      <c r="F80" s="272">
        <f t="shared" si="42"/>
        <v>2127285</v>
      </c>
      <c r="G80" s="272">
        <v>3442</v>
      </c>
      <c r="H80" s="272">
        <f t="shared" si="43"/>
        <v>2116830</v>
      </c>
      <c r="I80" s="118" t="str">
        <f t="shared" si="44"/>
        <v>OK</v>
      </c>
      <c r="J80" s="272">
        <v>3320</v>
      </c>
      <c r="K80" s="272">
        <f t="shared" ref="K80:K88" si="45">ROUND($D80*J80,0)</f>
        <v>2041800</v>
      </c>
      <c r="L80" s="118" t="str">
        <f t="shared" ref="L80:L88" si="46">+IF(J80&lt;=$E80,"OK","NO OK")</f>
        <v>OK</v>
      </c>
      <c r="M80" s="272">
        <v>3424</v>
      </c>
      <c r="N80" s="272">
        <f t="shared" ref="N80:N88" si="47">ROUND($D80*M80,0)</f>
        <v>2105760</v>
      </c>
      <c r="O80" s="118" t="str">
        <f t="shared" ref="O80:O88" si="48">+IF(M80&lt;=$E80,"OK","NO OK")</f>
        <v>OK</v>
      </c>
      <c r="P80" s="272">
        <v>3459</v>
      </c>
      <c r="Q80" s="272">
        <f t="shared" ref="Q80:Q88" si="49">ROUND($D80*P80,0)</f>
        <v>2127285</v>
      </c>
      <c r="R80" s="118" t="str">
        <f t="shared" ref="R80:R88" si="50">+IF(P80&lt;=$E80,"OK","NO OK")</f>
        <v>OK</v>
      </c>
    </row>
    <row r="81" spans="1:18" ht="38.25" x14ac:dyDescent="0.25">
      <c r="A81" s="136" t="s">
        <v>363</v>
      </c>
      <c r="B81" s="122" t="s">
        <v>348</v>
      </c>
      <c r="C81" s="121" t="s">
        <v>56</v>
      </c>
      <c r="D81" s="123">
        <v>615</v>
      </c>
      <c r="E81" s="272">
        <v>6050</v>
      </c>
      <c r="F81" s="272">
        <f t="shared" si="42"/>
        <v>3720750</v>
      </c>
      <c r="G81" s="272">
        <v>6020</v>
      </c>
      <c r="H81" s="272">
        <f t="shared" si="43"/>
        <v>3702300</v>
      </c>
      <c r="I81" s="118" t="str">
        <f t="shared" si="44"/>
        <v>OK</v>
      </c>
      <c r="J81" s="272">
        <v>6050</v>
      </c>
      <c r="K81" s="272">
        <f t="shared" si="45"/>
        <v>3720750</v>
      </c>
      <c r="L81" s="118" t="str">
        <f t="shared" si="46"/>
        <v>OK</v>
      </c>
      <c r="M81" s="272">
        <v>5989</v>
      </c>
      <c r="N81" s="272">
        <f t="shared" si="47"/>
        <v>3683235</v>
      </c>
      <c r="O81" s="118" t="str">
        <f t="shared" si="48"/>
        <v>OK</v>
      </c>
      <c r="P81" s="272">
        <v>6050</v>
      </c>
      <c r="Q81" s="272">
        <f t="shared" si="49"/>
        <v>3720750</v>
      </c>
      <c r="R81" s="118" t="str">
        <f t="shared" si="50"/>
        <v>OK</v>
      </c>
    </row>
    <row r="82" spans="1:18" ht="25.5" x14ac:dyDescent="0.25">
      <c r="A82" s="136" t="s">
        <v>364</v>
      </c>
      <c r="B82" s="122" t="s">
        <v>365</v>
      </c>
      <c r="C82" s="121" t="s">
        <v>56</v>
      </c>
      <c r="D82" s="123">
        <v>145</v>
      </c>
      <c r="E82" s="272">
        <v>10067</v>
      </c>
      <c r="F82" s="272">
        <f t="shared" si="42"/>
        <v>1459715</v>
      </c>
      <c r="G82" s="272">
        <v>10017</v>
      </c>
      <c r="H82" s="272">
        <f t="shared" si="43"/>
        <v>1452465</v>
      </c>
      <c r="I82" s="118" t="str">
        <f t="shared" si="44"/>
        <v>OK</v>
      </c>
      <c r="J82" s="272">
        <v>10067</v>
      </c>
      <c r="K82" s="272">
        <f t="shared" si="45"/>
        <v>1459715</v>
      </c>
      <c r="L82" s="118" t="str">
        <f t="shared" si="46"/>
        <v>OK</v>
      </c>
      <c r="M82" s="272">
        <v>9965</v>
      </c>
      <c r="N82" s="272">
        <f t="shared" si="47"/>
        <v>1444925</v>
      </c>
      <c r="O82" s="118" t="str">
        <f t="shared" si="48"/>
        <v>OK</v>
      </c>
      <c r="P82" s="272">
        <v>10067</v>
      </c>
      <c r="Q82" s="272">
        <f t="shared" si="49"/>
        <v>1459715</v>
      </c>
      <c r="R82" s="118" t="str">
        <f t="shared" si="50"/>
        <v>OK</v>
      </c>
    </row>
    <row r="83" spans="1:18" ht="25.5" x14ac:dyDescent="0.25">
      <c r="A83" s="136" t="s">
        <v>366</v>
      </c>
      <c r="B83" s="122" t="s">
        <v>367</v>
      </c>
      <c r="C83" s="121" t="s">
        <v>257</v>
      </c>
      <c r="D83" s="123">
        <v>2</v>
      </c>
      <c r="E83" s="272">
        <v>55630</v>
      </c>
      <c r="F83" s="272">
        <f t="shared" si="42"/>
        <v>111260</v>
      </c>
      <c r="G83" s="272">
        <v>55352</v>
      </c>
      <c r="H83" s="272">
        <f t="shared" si="43"/>
        <v>110704</v>
      </c>
      <c r="I83" s="118" t="str">
        <f t="shared" si="44"/>
        <v>OK</v>
      </c>
      <c r="J83" s="272">
        <v>55630</v>
      </c>
      <c r="K83" s="272">
        <f t="shared" si="45"/>
        <v>111260</v>
      </c>
      <c r="L83" s="118" t="str">
        <f t="shared" si="46"/>
        <v>OK</v>
      </c>
      <c r="M83" s="272">
        <v>55068</v>
      </c>
      <c r="N83" s="272">
        <f t="shared" si="47"/>
        <v>110136</v>
      </c>
      <c r="O83" s="118" t="str">
        <f t="shared" si="48"/>
        <v>OK</v>
      </c>
      <c r="P83" s="272">
        <v>55630</v>
      </c>
      <c r="Q83" s="272">
        <f t="shared" si="49"/>
        <v>111260</v>
      </c>
      <c r="R83" s="118" t="str">
        <f t="shared" si="50"/>
        <v>OK</v>
      </c>
    </row>
    <row r="84" spans="1:18" ht="25.5" x14ac:dyDescent="0.25">
      <c r="A84" s="136" t="s">
        <v>368</v>
      </c>
      <c r="B84" s="122" t="s">
        <v>369</v>
      </c>
      <c r="C84" s="121" t="s">
        <v>257</v>
      </c>
      <c r="D84" s="123">
        <v>16</v>
      </c>
      <c r="E84" s="272">
        <v>35674</v>
      </c>
      <c r="F84" s="272">
        <f t="shared" si="42"/>
        <v>570784</v>
      </c>
      <c r="G84" s="272">
        <v>35496</v>
      </c>
      <c r="H84" s="272">
        <f t="shared" si="43"/>
        <v>567936</v>
      </c>
      <c r="I84" s="118" t="str">
        <f t="shared" si="44"/>
        <v>OK</v>
      </c>
      <c r="J84" s="272">
        <v>35674</v>
      </c>
      <c r="K84" s="272">
        <f t="shared" si="45"/>
        <v>570784</v>
      </c>
      <c r="L84" s="118" t="str">
        <f t="shared" si="46"/>
        <v>OK</v>
      </c>
      <c r="M84" s="272">
        <v>35314</v>
      </c>
      <c r="N84" s="272">
        <f t="shared" si="47"/>
        <v>565024</v>
      </c>
      <c r="O84" s="118" t="str">
        <f t="shared" si="48"/>
        <v>OK</v>
      </c>
      <c r="P84" s="272">
        <v>35674</v>
      </c>
      <c r="Q84" s="272">
        <f t="shared" si="49"/>
        <v>570784</v>
      </c>
      <c r="R84" s="118" t="str">
        <f t="shared" si="50"/>
        <v>OK</v>
      </c>
    </row>
    <row r="85" spans="1:18" ht="25.5" x14ac:dyDescent="0.25">
      <c r="A85" s="136" t="s">
        <v>370</v>
      </c>
      <c r="B85" s="122" t="s">
        <v>316</v>
      </c>
      <c r="C85" s="121" t="s">
        <v>291</v>
      </c>
      <c r="D85" s="123">
        <v>1</v>
      </c>
      <c r="E85" s="272">
        <v>402500</v>
      </c>
      <c r="F85" s="272">
        <f t="shared" si="42"/>
        <v>402500</v>
      </c>
      <c r="G85" s="272">
        <v>400488</v>
      </c>
      <c r="H85" s="272">
        <f t="shared" si="43"/>
        <v>400488</v>
      </c>
      <c r="I85" s="118" t="str">
        <f t="shared" si="44"/>
        <v>OK</v>
      </c>
      <c r="J85" s="272">
        <v>402500</v>
      </c>
      <c r="K85" s="272">
        <f t="shared" si="45"/>
        <v>402500</v>
      </c>
      <c r="L85" s="118" t="str">
        <f t="shared" si="46"/>
        <v>OK</v>
      </c>
      <c r="M85" s="272">
        <v>398435</v>
      </c>
      <c r="N85" s="272">
        <f t="shared" si="47"/>
        <v>398435</v>
      </c>
      <c r="O85" s="118" t="str">
        <f t="shared" si="48"/>
        <v>OK</v>
      </c>
      <c r="P85" s="272">
        <v>402500</v>
      </c>
      <c r="Q85" s="272">
        <f t="shared" si="49"/>
        <v>402500</v>
      </c>
      <c r="R85" s="118" t="str">
        <f t="shared" si="50"/>
        <v>OK</v>
      </c>
    </row>
    <row r="86" spans="1:18" ht="15" x14ac:dyDescent="0.25">
      <c r="A86" s="136" t="s">
        <v>371</v>
      </c>
      <c r="B86" s="122" t="s">
        <v>280</v>
      </c>
      <c r="C86" s="121" t="s">
        <v>153</v>
      </c>
      <c r="D86" s="123">
        <v>104</v>
      </c>
      <c r="E86" s="272">
        <v>3097</v>
      </c>
      <c r="F86" s="272">
        <f t="shared" si="42"/>
        <v>322088</v>
      </c>
      <c r="G86" s="272">
        <v>3082</v>
      </c>
      <c r="H86" s="272">
        <f t="shared" si="43"/>
        <v>320528</v>
      </c>
      <c r="I86" s="118" t="str">
        <f t="shared" si="44"/>
        <v>OK</v>
      </c>
      <c r="J86" s="272">
        <v>3097</v>
      </c>
      <c r="K86" s="272">
        <f t="shared" si="45"/>
        <v>322088</v>
      </c>
      <c r="L86" s="118" t="str">
        <f t="shared" si="46"/>
        <v>OK</v>
      </c>
      <c r="M86" s="272">
        <v>3066</v>
      </c>
      <c r="N86" s="272">
        <f t="shared" si="47"/>
        <v>318864</v>
      </c>
      <c r="O86" s="118" t="str">
        <f t="shared" si="48"/>
        <v>OK</v>
      </c>
      <c r="P86" s="272">
        <v>3097</v>
      </c>
      <c r="Q86" s="272">
        <f t="shared" si="49"/>
        <v>322088</v>
      </c>
      <c r="R86" s="118" t="str">
        <f t="shared" si="50"/>
        <v>OK</v>
      </c>
    </row>
    <row r="87" spans="1:18" ht="15" x14ac:dyDescent="0.25">
      <c r="A87" s="136" t="s">
        <v>372</v>
      </c>
      <c r="B87" s="122" t="s">
        <v>373</v>
      </c>
      <c r="C87" s="121" t="s">
        <v>153</v>
      </c>
      <c r="D87" s="123">
        <v>123</v>
      </c>
      <c r="E87" s="272">
        <v>4265</v>
      </c>
      <c r="F87" s="272">
        <f t="shared" si="42"/>
        <v>524595</v>
      </c>
      <c r="G87" s="272">
        <v>4244</v>
      </c>
      <c r="H87" s="272">
        <f t="shared" si="43"/>
        <v>522012</v>
      </c>
      <c r="I87" s="118" t="str">
        <f t="shared" si="44"/>
        <v>OK</v>
      </c>
      <c r="J87" s="272">
        <v>4265</v>
      </c>
      <c r="K87" s="272">
        <f t="shared" si="45"/>
        <v>524595</v>
      </c>
      <c r="L87" s="118" t="str">
        <f t="shared" si="46"/>
        <v>OK</v>
      </c>
      <c r="M87" s="272">
        <v>4222</v>
      </c>
      <c r="N87" s="272">
        <f t="shared" si="47"/>
        <v>519306</v>
      </c>
      <c r="O87" s="118" t="str">
        <f t="shared" si="48"/>
        <v>OK</v>
      </c>
      <c r="P87" s="272">
        <v>4265</v>
      </c>
      <c r="Q87" s="272">
        <f t="shared" si="49"/>
        <v>524595</v>
      </c>
      <c r="R87" s="118" t="str">
        <f t="shared" si="50"/>
        <v>OK</v>
      </c>
    </row>
    <row r="88" spans="1:18" ht="15" x14ac:dyDescent="0.25">
      <c r="A88" s="136" t="s">
        <v>374</v>
      </c>
      <c r="B88" s="122" t="s">
        <v>303</v>
      </c>
      <c r="C88" s="121" t="s">
        <v>291</v>
      </c>
      <c r="D88" s="123">
        <v>1</v>
      </c>
      <c r="E88" s="272">
        <v>115000</v>
      </c>
      <c r="F88" s="272">
        <f t="shared" si="42"/>
        <v>115000</v>
      </c>
      <c r="G88" s="272">
        <v>114425</v>
      </c>
      <c r="H88" s="272">
        <f t="shared" si="43"/>
        <v>114425</v>
      </c>
      <c r="I88" s="118" t="str">
        <f t="shared" ref="I88:I105" si="51">+IF(G88&lt;=$E88,"OK","NO OK")</f>
        <v>OK</v>
      </c>
      <c r="J88" s="272">
        <v>115000</v>
      </c>
      <c r="K88" s="272">
        <f t="shared" si="45"/>
        <v>115000</v>
      </c>
      <c r="L88" s="118" t="str">
        <f t="shared" si="46"/>
        <v>OK</v>
      </c>
      <c r="M88" s="272">
        <v>113839</v>
      </c>
      <c r="N88" s="272">
        <f t="shared" si="47"/>
        <v>113839</v>
      </c>
      <c r="O88" s="118" t="str">
        <f t="shared" si="48"/>
        <v>OK</v>
      </c>
      <c r="P88" s="272">
        <v>115000</v>
      </c>
      <c r="Q88" s="272">
        <f t="shared" si="49"/>
        <v>115000</v>
      </c>
      <c r="R88" s="118" t="str">
        <f t="shared" si="50"/>
        <v>OK</v>
      </c>
    </row>
    <row r="89" spans="1:18" ht="15" x14ac:dyDescent="0.25">
      <c r="A89" s="270"/>
      <c r="B89" s="271" t="s">
        <v>292</v>
      </c>
      <c r="C89" s="121"/>
      <c r="D89" s="123"/>
      <c r="E89" s="272"/>
      <c r="F89" s="274">
        <f>SUM(F80:F88)</f>
        <v>9353977</v>
      </c>
      <c r="G89" s="272"/>
      <c r="H89" s="274">
        <f>SUM(H80:H88)</f>
        <v>9307688</v>
      </c>
      <c r="I89" s="118"/>
      <c r="J89" s="272"/>
      <c r="K89" s="274">
        <f>SUM(K80:K88)</f>
        <v>9268492</v>
      </c>
      <c r="L89" s="118"/>
      <c r="M89" s="272"/>
      <c r="N89" s="274">
        <f>SUM(N80:N88)</f>
        <v>9259524</v>
      </c>
      <c r="O89" s="118"/>
      <c r="P89" s="272"/>
      <c r="Q89" s="274">
        <f>SUM(Q80:Q88)</f>
        <v>9353977</v>
      </c>
      <c r="R89" s="118"/>
    </row>
    <row r="90" spans="1:18" s="135" customFormat="1" x14ac:dyDescent="0.25">
      <c r="A90" s="216">
        <v>8</v>
      </c>
      <c r="B90" s="132" t="s">
        <v>375</v>
      </c>
      <c r="C90" s="216"/>
      <c r="D90" s="216"/>
      <c r="E90" s="273"/>
      <c r="F90" s="273"/>
      <c r="G90" s="273"/>
      <c r="H90" s="272"/>
      <c r="I90" s="216"/>
      <c r="J90" s="273"/>
      <c r="K90" s="272"/>
      <c r="L90" s="216"/>
      <c r="M90" s="273"/>
      <c r="N90" s="272"/>
      <c r="O90" s="216"/>
      <c r="P90" s="273"/>
      <c r="Q90" s="272"/>
      <c r="R90" s="216"/>
    </row>
    <row r="91" spans="1:18" ht="15" x14ac:dyDescent="0.25">
      <c r="A91" s="136" t="s">
        <v>376</v>
      </c>
      <c r="B91" s="122" t="s">
        <v>262</v>
      </c>
      <c r="C91" s="121" t="s">
        <v>56</v>
      </c>
      <c r="D91" s="123">
        <v>1106</v>
      </c>
      <c r="E91" s="272">
        <v>3459</v>
      </c>
      <c r="F91" s="272">
        <f t="shared" ref="F91:F100" si="52">ROUND(D91*E91,0)</f>
        <v>3825654</v>
      </c>
      <c r="G91" s="272">
        <v>3442</v>
      </c>
      <c r="H91" s="272">
        <f t="shared" si="43"/>
        <v>3806852</v>
      </c>
      <c r="I91" s="118" t="str">
        <f t="shared" si="51"/>
        <v>OK</v>
      </c>
      <c r="J91" s="272">
        <v>3320</v>
      </c>
      <c r="K91" s="272">
        <f t="shared" ref="K91:K100" si="53">ROUND($D91*J91,0)</f>
        <v>3671920</v>
      </c>
      <c r="L91" s="118" t="str">
        <f t="shared" ref="L91:L100" si="54">+IF(J91&lt;=$E91,"OK","NO OK")</f>
        <v>OK</v>
      </c>
      <c r="M91" s="272">
        <v>3424</v>
      </c>
      <c r="N91" s="272">
        <f t="shared" ref="N91:N100" si="55">ROUND($D91*M91,0)</f>
        <v>3786944</v>
      </c>
      <c r="O91" s="118" t="str">
        <f t="shared" ref="O91:O100" si="56">+IF(M91&lt;=$E91,"OK","NO OK")</f>
        <v>OK</v>
      </c>
      <c r="P91" s="272">
        <v>3459</v>
      </c>
      <c r="Q91" s="272">
        <f t="shared" ref="Q91:Q100" si="57">ROUND($D91*P91,0)</f>
        <v>3825654</v>
      </c>
      <c r="R91" s="118" t="str">
        <f t="shared" ref="R91:R100" si="58">+IF(P91&lt;=$E91,"OK","NO OK")</f>
        <v>OK</v>
      </c>
    </row>
    <row r="92" spans="1:18" ht="38.25" x14ac:dyDescent="0.25">
      <c r="A92" s="136" t="s">
        <v>377</v>
      </c>
      <c r="B92" s="122" t="s">
        <v>348</v>
      </c>
      <c r="C92" s="121" t="s">
        <v>56</v>
      </c>
      <c r="D92" s="123">
        <v>1106</v>
      </c>
      <c r="E92" s="272">
        <v>6050</v>
      </c>
      <c r="F92" s="272">
        <f t="shared" si="52"/>
        <v>6691300</v>
      </c>
      <c r="G92" s="272">
        <v>6020</v>
      </c>
      <c r="H92" s="272">
        <f t="shared" si="43"/>
        <v>6658120</v>
      </c>
      <c r="I92" s="118" t="str">
        <f t="shared" si="51"/>
        <v>OK</v>
      </c>
      <c r="J92" s="272">
        <v>6050</v>
      </c>
      <c r="K92" s="272">
        <f t="shared" si="53"/>
        <v>6691300</v>
      </c>
      <c r="L92" s="118" t="str">
        <f t="shared" si="54"/>
        <v>OK</v>
      </c>
      <c r="M92" s="272">
        <v>5989</v>
      </c>
      <c r="N92" s="272">
        <f t="shared" si="55"/>
        <v>6623834</v>
      </c>
      <c r="O92" s="118" t="str">
        <f t="shared" si="56"/>
        <v>OK</v>
      </c>
      <c r="P92" s="272">
        <v>6050</v>
      </c>
      <c r="Q92" s="272">
        <f t="shared" si="57"/>
        <v>6691300</v>
      </c>
      <c r="R92" s="118" t="str">
        <f t="shared" si="58"/>
        <v>OK</v>
      </c>
    </row>
    <row r="93" spans="1:18" ht="25.5" x14ac:dyDescent="0.25">
      <c r="A93" s="136" t="s">
        <v>378</v>
      </c>
      <c r="B93" s="122" t="s">
        <v>268</v>
      </c>
      <c r="C93" s="121" t="s">
        <v>56</v>
      </c>
      <c r="D93" s="123">
        <v>170</v>
      </c>
      <c r="E93" s="272">
        <v>5894</v>
      </c>
      <c r="F93" s="272">
        <f t="shared" si="52"/>
        <v>1001980</v>
      </c>
      <c r="G93" s="272">
        <v>5865</v>
      </c>
      <c r="H93" s="272">
        <f t="shared" si="43"/>
        <v>997050</v>
      </c>
      <c r="I93" s="118" t="str">
        <f t="shared" si="51"/>
        <v>OK</v>
      </c>
      <c r="J93" s="272">
        <v>5894</v>
      </c>
      <c r="K93" s="272">
        <f t="shared" si="53"/>
        <v>1001980</v>
      </c>
      <c r="L93" s="118" t="str">
        <f t="shared" si="54"/>
        <v>OK</v>
      </c>
      <c r="M93" s="272">
        <v>5834</v>
      </c>
      <c r="N93" s="272">
        <f t="shared" si="55"/>
        <v>991780</v>
      </c>
      <c r="O93" s="118" t="str">
        <f t="shared" si="56"/>
        <v>OK</v>
      </c>
      <c r="P93" s="272">
        <v>5894</v>
      </c>
      <c r="Q93" s="272">
        <f t="shared" si="57"/>
        <v>1001980</v>
      </c>
      <c r="R93" s="118" t="str">
        <f t="shared" si="58"/>
        <v>OK</v>
      </c>
    </row>
    <row r="94" spans="1:18" ht="25.5" x14ac:dyDescent="0.25">
      <c r="A94" s="136" t="s">
        <v>379</v>
      </c>
      <c r="B94" s="122" t="s">
        <v>324</v>
      </c>
      <c r="C94" s="121" t="s">
        <v>257</v>
      </c>
      <c r="D94" s="123">
        <v>15</v>
      </c>
      <c r="E94" s="272">
        <v>55630</v>
      </c>
      <c r="F94" s="272">
        <f t="shared" si="52"/>
        <v>834450</v>
      </c>
      <c r="G94" s="272">
        <v>55352</v>
      </c>
      <c r="H94" s="272">
        <f t="shared" si="43"/>
        <v>830280</v>
      </c>
      <c r="I94" s="118" t="str">
        <f t="shared" si="51"/>
        <v>OK</v>
      </c>
      <c r="J94" s="272">
        <v>55630</v>
      </c>
      <c r="K94" s="272">
        <f t="shared" si="53"/>
        <v>834450</v>
      </c>
      <c r="L94" s="118" t="str">
        <f t="shared" si="54"/>
        <v>OK</v>
      </c>
      <c r="M94" s="272">
        <v>55068</v>
      </c>
      <c r="N94" s="272">
        <f t="shared" si="55"/>
        <v>826020</v>
      </c>
      <c r="O94" s="118" t="str">
        <f t="shared" si="56"/>
        <v>OK</v>
      </c>
      <c r="P94" s="272">
        <v>55630</v>
      </c>
      <c r="Q94" s="272">
        <f t="shared" si="57"/>
        <v>834450</v>
      </c>
      <c r="R94" s="118" t="str">
        <f t="shared" si="58"/>
        <v>OK</v>
      </c>
    </row>
    <row r="95" spans="1:18" ht="25.5" x14ac:dyDescent="0.25">
      <c r="A95" s="136" t="s">
        <v>380</v>
      </c>
      <c r="B95" s="122" t="s">
        <v>381</v>
      </c>
      <c r="C95" s="121" t="s">
        <v>257</v>
      </c>
      <c r="D95" s="123">
        <v>15</v>
      </c>
      <c r="E95" s="272">
        <v>35674</v>
      </c>
      <c r="F95" s="272">
        <f t="shared" si="52"/>
        <v>535110</v>
      </c>
      <c r="G95" s="272">
        <v>35496</v>
      </c>
      <c r="H95" s="272">
        <f t="shared" si="43"/>
        <v>532440</v>
      </c>
      <c r="I95" s="118" t="str">
        <f t="shared" si="51"/>
        <v>OK</v>
      </c>
      <c r="J95" s="272">
        <v>35674</v>
      </c>
      <c r="K95" s="272">
        <f t="shared" si="53"/>
        <v>535110</v>
      </c>
      <c r="L95" s="118" t="str">
        <f t="shared" si="54"/>
        <v>OK</v>
      </c>
      <c r="M95" s="272">
        <v>35314</v>
      </c>
      <c r="N95" s="272">
        <f t="shared" si="55"/>
        <v>529710</v>
      </c>
      <c r="O95" s="118" t="str">
        <f t="shared" si="56"/>
        <v>OK</v>
      </c>
      <c r="P95" s="272">
        <v>35674</v>
      </c>
      <c r="Q95" s="272">
        <f t="shared" si="57"/>
        <v>535110</v>
      </c>
      <c r="R95" s="118" t="str">
        <f t="shared" si="58"/>
        <v>OK</v>
      </c>
    </row>
    <row r="96" spans="1:18" ht="25.5" x14ac:dyDescent="0.25">
      <c r="A96" s="136" t="s">
        <v>382</v>
      </c>
      <c r="B96" s="122" t="s">
        <v>316</v>
      </c>
      <c r="C96" s="121" t="s">
        <v>291</v>
      </c>
      <c r="D96" s="123">
        <v>1</v>
      </c>
      <c r="E96" s="272">
        <v>402500</v>
      </c>
      <c r="F96" s="272">
        <f t="shared" si="52"/>
        <v>402500</v>
      </c>
      <c r="G96" s="272">
        <v>400488</v>
      </c>
      <c r="H96" s="272">
        <f t="shared" si="43"/>
        <v>400488</v>
      </c>
      <c r="I96" s="118" t="str">
        <f t="shared" si="51"/>
        <v>OK</v>
      </c>
      <c r="J96" s="272">
        <v>402500</v>
      </c>
      <c r="K96" s="272">
        <f t="shared" si="53"/>
        <v>402500</v>
      </c>
      <c r="L96" s="118" t="str">
        <f t="shared" si="54"/>
        <v>OK</v>
      </c>
      <c r="M96" s="272">
        <v>398435</v>
      </c>
      <c r="N96" s="272">
        <f t="shared" si="55"/>
        <v>398435</v>
      </c>
      <c r="O96" s="118" t="str">
        <f t="shared" si="56"/>
        <v>OK</v>
      </c>
      <c r="P96" s="272">
        <v>402500</v>
      </c>
      <c r="Q96" s="272">
        <f t="shared" si="57"/>
        <v>402500</v>
      </c>
      <c r="R96" s="118" t="str">
        <f t="shared" si="58"/>
        <v>OK</v>
      </c>
    </row>
    <row r="97" spans="1:19" ht="15" x14ac:dyDescent="0.25">
      <c r="A97" s="136" t="s">
        <v>383</v>
      </c>
      <c r="B97" s="122" t="s">
        <v>280</v>
      </c>
      <c r="C97" s="121" t="s">
        <v>153</v>
      </c>
      <c r="D97" s="123">
        <v>120</v>
      </c>
      <c r="E97" s="272">
        <v>3097</v>
      </c>
      <c r="F97" s="272">
        <f t="shared" si="52"/>
        <v>371640</v>
      </c>
      <c r="G97" s="272">
        <v>3082</v>
      </c>
      <c r="H97" s="272">
        <f t="shared" si="43"/>
        <v>369840</v>
      </c>
      <c r="I97" s="118" t="str">
        <f t="shared" si="51"/>
        <v>OK</v>
      </c>
      <c r="J97" s="272">
        <v>3097</v>
      </c>
      <c r="K97" s="272">
        <f t="shared" si="53"/>
        <v>371640</v>
      </c>
      <c r="L97" s="118" t="str">
        <f t="shared" si="54"/>
        <v>OK</v>
      </c>
      <c r="M97" s="272">
        <v>3066</v>
      </c>
      <c r="N97" s="272">
        <f t="shared" si="55"/>
        <v>367920</v>
      </c>
      <c r="O97" s="118" t="str">
        <f t="shared" si="56"/>
        <v>OK</v>
      </c>
      <c r="P97" s="272">
        <v>3097</v>
      </c>
      <c r="Q97" s="272">
        <f t="shared" si="57"/>
        <v>371640</v>
      </c>
      <c r="R97" s="118" t="str">
        <f t="shared" si="58"/>
        <v>OK</v>
      </c>
    </row>
    <row r="98" spans="1:19" ht="25.5" x14ac:dyDescent="0.25">
      <c r="A98" s="136" t="s">
        <v>384</v>
      </c>
      <c r="B98" s="122" t="s">
        <v>278</v>
      </c>
      <c r="C98" s="121" t="s">
        <v>257</v>
      </c>
      <c r="D98" s="123">
        <v>2</v>
      </c>
      <c r="E98" s="272">
        <v>135528</v>
      </c>
      <c r="F98" s="272">
        <f t="shared" si="52"/>
        <v>271056</v>
      </c>
      <c r="G98" s="272">
        <v>134850</v>
      </c>
      <c r="H98" s="272">
        <f t="shared" si="43"/>
        <v>269700</v>
      </c>
      <c r="I98" s="118" t="str">
        <f t="shared" si="51"/>
        <v>OK</v>
      </c>
      <c r="J98" s="272">
        <v>135528</v>
      </c>
      <c r="K98" s="272">
        <f t="shared" si="53"/>
        <v>271056</v>
      </c>
      <c r="L98" s="118" t="str">
        <f t="shared" si="54"/>
        <v>OK</v>
      </c>
      <c r="M98" s="272">
        <v>134159</v>
      </c>
      <c r="N98" s="272">
        <f t="shared" si="55"/>
        <v>268318</v>
      </c>
      <c r="O98" s="118" t="str">
        <f t="shared" si="56"/>
        <v>OK</v>
      </c>
      <c r="P98" s="272">
        <v>135528</v>
      </c>
      <c r="Q98" s="272">
        <f t="shared" si="57"/>
        <v>271056</v>
      </c>
      <c r="R98" s="118" t="str">
        <f t="shared" si="58"/>
        <v>OK</v>
      </c>
    </row>
    <row r="99" spans="1:19" ht="15" x14ac:dyDescent="0.25">
      <c r="A99" s="136" t="s">
        <v>385</v>
      </c>
      <c r="B99" s="122" t="s">
        <v>328</v>
      </c>
      <c r="C99" s="121" t="s">
        <v>153</v>
      </c>
      <c r="D99" s="123">
        <v>182</v>
      </c>
      <c r="E99" s="272">
        <v>4265</v>
      </c>
      <c r="F99" s="272">
        <f t="shared" si="52"/>
        <v>776230</v>
      </c>
      <c r="G99" s="272">
        <v>4244</v>
      </c>
      <c r="H99" s="272">
        <f t="shared" si="43"/>
        <v>772408</v>
      </c>
      <c r="I99" s="118" t="str">
        <f t="shared" si="51"/>
        <v>OK</v>
      </c>
      <c r="J99" s="272">
        <v>4265</v>
      </c>
      <c r="K99" s="272">
        <f t="shared" si="53"/>
        <v>776230</v>
      </c>
      <c r="L99" s="118" t="str">
        <f t="shared" si="54"/>
        <v>OK</v>
      </c>
      <c r="M99" s="272">
        <v>4222</v>
      </c>
      <c r="N99" s="272">
        <f t="shared" si="55"/>
        <v>768404</v>
      </c>
      <c r="O99" s="118" t="str">
        <f t="shared" si="56"/>
        <v>OK</v>
      </c>
      <c r="P99" s="272">
        <v>4265</v>
      </c>
      <c r="Q99" s="272">
        <f t="shared" si="57"/>
        <v>776230</v>
      </c>
      <c r="R99" s="118" t="str">
        <f t="shared" si="58"/>
        <v>OK</v>
      </c>
    </row>
    <row r="100" spans="1:19" ht="15" x14ac:dyDescent="0.25">
      <c r="A100" s="136" t="s">
        <v>386</v>
      </c>
      <c r="B100" s="122" t="s">
        <v>303</v>
      </c>
      <c r="C100" s="121" t="s">
        <v>291</v>
      </c>
      <c r="D100" s="123">
        <v>1</v>
      </c>
      <c r="E100" s="272">
        <v>115000</v>
      </c>
      <c r="F100" s="272">
        <f t="shared" si="52"/>
        <v>115000</v>
      </c>
      <c r="G100" s="272">
        <v>114425</v>
      </c>
      <c r="H100" s="272">
        <f t="shared" si="43"/>
        <v>114425</v>
      </c>
      <c r="I100" s="118" t="str">
        <f t="shared" si="51"/>
        <v>OK</v>
      </c>
      <c r="J100" s="272">
        <v>115000</v>
      </c>
      <c r="K100" s="272">
        <f t="shared" si="53"/>
        <v>115000</v>
      </c>
      <c r="L100" s="118" t="str">
        <f t="shared" si="54"/>
        <v>OK</v>
      </c>
      <c r="M100" s="272">
        <v>113839</v>
      </c>
      <c r="N100" s="272">
        <f t="shared" si="55"/>
        <v>113839</v>
      </c>
      <c r="O100" s="118" t="str">
        <f t="shared" si="56"/>
        <v>OK</v>
      </c>
      <c r="P100" s="272">
        <v>115000</v>
      </c>
      <c r="Q100" s="272">
        <f t="shared" si="57"/>
        <v>115000</v>
      </c>
      <c r="R100" s="118" t="str">
        <f t="shared" si="58"/>
        <v>OK</v>
      </c>
    </row>
    <row r="101" spans="1:19" ht="15" x14ac:dyDescent="0.25">
      <c r="A101" s="270"/>
      <c r="B101" s="271" t="s">
        <v>292</v>
      </c>
      <c r="C101" s="121"/>
      <c r="D101" s="123"/>
      <c r="E101" s="272"/>
      <c r="F101" s="274">
        <f>SUM(F91:F100)</f>
        <v>14824920</v>
      </c>
      <c r="G101" s="272"/>
      <c r="H101" s="274">
        <f>SUM(H91:H100)</f>
        <v>14751603</v>
      </c>
      <c r="I101" s="118"/>
      <c r="J101" s="272"/>
      <c r="K101" s="274">
        <f>SUM(K91:K100)</f>
        <v>14671186</v>
      </c>
      <c r="L101" s="118"/>
      <c r="M101" s="272"/>
      <c r="N101" s="274">
        <f>SUM(N91:N100)</f>
        <v>14675204</v>
      </c>
      <c r="O101" s="118"/>
      <c r="P101" s="272"/>
      <c r="Q101" s="274">
        <f>SUM(Q91:Q100)</f>
        <v>14824920</v>
      </c>
      <c r="R101" s="118"/>
    </row>
    <row r="102" spans="1:19" s="135" customFormat="1" x14ac:dyDescent="0.25">
      <c r="A102" s="216">
        <v>9</v>
      </c>
      <c r="B102" s="132" t="s">
        <v>387</v>
      </c>
      <c r="C102" s="216"/>
      <c r="D102" s="216"/>
      <c r="E102" s="273"/>
      <c r="F102" s="273"/>
      <c r="G102" s="273"/>
      <c r="H102" s="272"/>
      <c r="I102" s="216"/>
      <c r="J102" s="273"/>
      <c r="K102" s="272"/>
      <c r="L102" s="216"/>
      <c r="M102" s="273"/>
      <c r="N102" s="272"/>
      <c r="O102" s="216"/>
      <c r="P102" s="273"/>
      <c r="Q102" s="272"/>
      <c r="R102" s="216"/>
    </row>
    <row r="103" spans="1:19" ht="38.25" x14ac:dyDescent="0.25">
      <c r="A103" s="136" t="s">
        <v>388</v>
      </c>
      <c r="B103" s="122" t="s">
        <v>389</v>
      </c>
      <c r="C103" s="121" t="s">
        <v>56</v>
      </c>
      <c r="D103" s="123">
        <v>960</v>
      </c>
      <c r="E103" s="272">
        <v>12983</v>
      </c>
      <c r="F103" s="272">
        <f t="shared" ref="F103:F105" si="59">ROUND(D103*E103,0)</f>
        <v>12463680</v>
      </c>
      <c r="G103" s="272">
        <v>12918</v>
      </c>
      <c r="H103" s="272">
        <f t="shared" si="43"/>
        <v>12401280</v>
      </c>
      <c r="I103" s="118" t="str">
        <f t="shared" si="51"/>
        <v>OK</v>
      </c>
      <c r="J103" s="272">
        <v>12983</v>
      </c>
      <c r="K103" s="272">
        <f t="shared" ref="K103:K105" si="60">ROUND($D103*J103,0)</f>
        <v>12463680</v>
      </c>
      <c r="L103" s="118" t="str">
        <f t="shared" ref="L103:L105" si="61">+IF(J103&lt;=$E103,"OK","NO OK")</f>
        <v>OK</v>
      </c>
      <c r="M103" s="272">
        <v>12852</v>
      </c>
      <c r="N103" s="272">
        <f t="shared" ref="N103:N105" si="62">ROUND($D103*M103,0)</f>
        <v>12337920</v>
      </c>
      <c r="O103" s="118" t="str">
        <f t="shared" ref="O103:O105" si="63">+IF(M103&lt;=$E103,"OK","NO OK")</f>
        <v>OK</v>
      </c>
      <c r="P103" s="272">
        <v>12450</v>
      </c>
      <c r="Q103" s="272">
        <f t="shared" ref="Q103:Q105" si="64">ROUND($D103*P103,0)</f>
        <v>11952000</v>
      </c>
      <c r="R103" s="118" t="str">
        <f t="shared" ref="R103:R105" si="65">+IF(P103&lt;=$E103,"OK","NO OK")</f>
        <v>OK</v>
      </c>
    </row>
    <row r="104" spans="1:19" ht="25.5" x14ac:dyDescent="0.25">
      <c r="A104" s="136" t="s">
        <v>390</v>
      </c>
      <c r="B104" s="122" t="s">
        <v>391</v>
      </c>
      <c r="C104" s="121" t="s">
        <v>153</v>
      </c>
      <c r="D104" s="123">
        <v>80</v>
      </c>
      <c r="E104" s="272">
        <v>54953</v>
      </c>
      <c r="F104" s="272">
        <f t="shared" si="59"/>
        <v>4396240</v>
      </c>
      <c r="G104" s="272">
        <v>54678</v>
      </c>
      <c r="H104" s="272">
        <f t="shared" si="43"/>
        <v>4374240</v>
      </c>
      <c r="I104" s="118" t="str">
        <f t="shared" si="51"/>
        <v>OK</v>
      </c>
      <c r="J104" s="272">
        <v>54953</v>
      </c>
      <c r="K104" s="272">
        <f t="shared" si="60"/>
        <v>4396240</v>
      </c>
      <c r="L104" s="118" t="str">
        <f t="shared" si="61"/>
        <v>OK</v>
      </c>
      <c r="M104" s="272">
        <v>54398</v>
      </c>
      <c r="N104" s="272">
        <f t="shared" si="62"/>
        <v>4351840</v>
      </c>
      <c r="O104" s="118" t="str">
        <f t="shared" si="63"/>
        <v>OK</v>
      </c>
      <c r="P104" s="272">
        <v>54953</v>
      </c>
      <c r="Q104" s="272">
        <f t="shared" si="64"/>
        <v>4396240</v>
      </c>
      <c r="R104" s="118" t="str">
        <f t="shared" si="65"/>
        <v>OK</v>
      </c>
    </row>
    <row r="105" spans="1:19" ht="15" x14ac:dyDescent="0.25">
      <c r="A105" s="136" t="s">
        <v>392</v>
      </c>
      <c r="B105" s="122" t="s">
        <v>303</v>
      </c>
      <c r="C105" s="121" t="s">
        <v>291</v>
      </c>
      <c r="D105" s="123">
        <v>1</v>
      </c>
      <c r="E105" s="272">
        <v>115000</v>
      </c>
      <c r="F105" s="272">
        <f t="shared" si="59"/>
        <v>115000</v>
      </c>
      <c r="G105" s="272">
        <v>114425</v>
      </c>
      <c r="H105" s="272">
        <f t="shared" si="43"/>
        <v>114425</v>
      </c>
      <c r="I105" s="118" t="str">
        <f t="shared" si="51"/>
        <v>OK</v>
      </c>
      <c r="J105" s="272">
        <v>115000</v>
      </c>
      <c r="K105" s="272">
        <f t="shared" si="60"/>
        <v>115000</v>
      </c>
      <c r="L105" s="118" t="str">
        <f t="shared" si="61"/>
        <v>OK</v>
      </c>
      <c r="M105" s="272">
        <v>113839</v>
      </c>
      <c r="N105" s="272">
        <f t="shared" si="62"/>
        <v>113839</v>
      </c>
      <c r="O105" s="118" t="str">
        <f t="shared" si="63"/>
        <v>OK</v>
      </c>
      <c r="P105" s="272">
        <v>115000</v>
      </c>
      <c r="Q105" s="272">
        <f t="shared" si="64"/>
        <v>115000</v>
      </c>
      <c r="R105" s="118" t="str">
        <f t="shared" si="65"/>
        <v>OK</v>
      </c>
    </row>
    <row r="106" spans="1:19" ht="15" x14ac:dyDescent="0.25">
      <c r="A106" s="270"/>
      <c r="B106" s="271" t="s">
        <v>292</v>
      </c>
      <c r="C106" s="121"/>
      <c r="D106" s="123"/>
      <c r="E106" s="272"/>
      <c r="F106" s="274">
        <f>SUM(F103:F105)</f>
        <v>16974920</v>
      </c>
      <c r="G106" s="272"/>
      <c r="H106" s="274">
        <f>SUM(H103:H105)</f>
        <v>16889945</v>
      </c>
      <c r="I106" s="118"/>
      <c r="J106" s="272"/>
      <c r="K106" s="274">
        <f>SUM(K103:K105)</f>
        <v>16974920</v>
      </c>
      <c r="L106" s="118"/>
      <c r="M106" s="272"/>
      <c r="N106" s="274">
        <f>SUM(N103:N105)</f>
        <v>16803599</v>
      </c>
      <c r="O106" s="118"/>
      <c r="P106" s="272"/>
      <c r="Q106" s="274">
        <f>SUM(Q103:Q105)</f>
        <v>16463240</v>
      </c>
      <c r="R106" s="118"/>
    </row>
    <row r="107" spans="1:19" ht="15" x14ac:dyDescent="0.25">
      <c r="A107" s="264"/>
      <c r="B107" s="265"/>
      <c r="C107" s="264"/>
      <c r="D107" s="266"/>
      <c r="E107" s="267"/>
      <c r="F107" s="268"/>
      <c r="G107" s="267"/>
      <c r="H107" s="268"/>
      <c r="I107" s="269"/>
      <c r="J107" s="267"/>
      <c r="K107" s="268"/>
      <c r="L107" s="269"/>
      <c r="M107" s="267"/>
      <c r="N107" s="268"/>
      <c r="O107" s="269"/>
      <c r="P107" s="267"/>
      <c r="Q107" s="268"/>
      <c r="R107" s="269"/>
    </row>
    <row r="108" spans="1:19" x14ac:dyDescent="0.25">
      <c r="A108" s="121"/>
      <c r="B108" s="132" t="s">
        <v>36</v>
      </c>
      <c r="C108" s="121"/>
      <c r="D108" s="121"/>
      <c r="E108" s="124"/>
      <c r="F108" s="133">
        <f>+F24+F31+F44+F55+F65+F78+F89+F101+F106</f>
        <v>114403377</v>
      </c>
      <c r="G108" s="124"/>
      <c r="H108" s="133">
        <f>+H24+H31+H44+H55+H65+H78+H89+H101+H106</f>
        <v>113835525</v>
      </c>
      <c r="I108" s="121"/>
      <c r="J108" s="124"/>
      <c r="K108" s="133">
        <f>+K24+K31+K44+K55+K65+K78+K89+K101+K106</f>
        <v>113592868</v>
      </c>
      <c r="L108" s="121"/>
      <c r="M108" s="124"/>
      <c r="N108" s="133">
        <f>+N24+N31+N44+N55+N65+N78+N89+N101+N106</f>
        <v>113248193</v>
      </c>
      <c r="O108" s="121"/>
      <c r="P108" s="124"/>
      <c r="Q108" s="133">
        <f>+Q24+Q31+Q44+Q55+Q65+Q78+Q89+Q101+Q106</f>
        <v>113891697</v>
      </c>
      <c r="R108" s="121"/>
      <c r="S108" s="7"/>
    </row>
    <row r="109" spans="1:19" x14ac:dyDescent="0.25">
      <c r="A109" s="121"/>
      <c r="B109" s="137" t="s">
        <v>77</v>
      </c>
      <c r="C109" s="138">
        <v>0.17</v>
      </c>
      <c r="D109" s="121"/>
      <c r="E109" s="124"/>
      <c r="F109" s="124">
        <f>ROUND(F$108*$C109,0)</f>
        <v>19448574</v>
      </c>
      <c r="G109" s="139">
        <v>0.17</v>
      </c>
      <c r="H109" s="124">
        <f>ROUND(H$108*G109,0)</f>
        <v>19352039</v>
      </c>
      <c r="I109" s="121"/>
      <c r="J109" s="139">
        <v>0.17</v>
      </c>
      <c r="K109" s="124">
        <f>ROUND(K$108*J109,0)</f>
        <v>19310788</v>
      </c>
      <c r="L109" s="121"/>
      <c r="M109" s="139">
        <v>0.17</v>
      </c>
      <c r="N109" s="124">
        <f>ROUND(N$108*M109,0)</f>
        <v>19252193</v>
      </c>
      <c r="O109" s="121"/>
      <c r="P109" s="139">
        <v>0.17</v>
      </c>
      <c r="Q109" s="124">
        <f>ROUND(Q$108*P109,0)</f>
        <v>19361588</v>
      </c>
      <c r="R109" s="121"/>
      <c r="S109" s="7"/>
    </row>
    <row r="110" spans="1:19" x14ac:dyDescent="0.25">
      <c r="A110" s="121"/>
      <c r="B110" s="137" t="s">
        <v>37</v>
      </c>
      <c r="C110" s="138">
        <v>0.05</v>
      </c>
      <c r="D110" s="121"/>
      <c r="E110" s="124"/>
      <c r="F110" s="124">
        <f t="shared" ref="F110:F111" si="66">ROUND(F$108*$C110,0)</f>
        <v>5720169</v>
      </c>
      <c r="G110" s="139">
        <v>0.05</v>
      </c>
      <c r="H110" s="124">
        <f>ROUND(H$108*G110,0)</f>
        <v>5691776</v>
      </c>
      <c r="I110" s="121"/>
      <c r="J110" s="139">
        <v>0.05</v>
      </c>
      <c r="K110" s="124">
        <f>ROUND(K$108*J110,0)</f>
        <v>5679643</v>
      </c>
      <c r="L110" s="121"/>
      <c r="M110" s="139">
        <v>0.05</v>
      </c>
      <c r="N110" s="124">
        <f>ROUND(N$108*M110,0)</f>
        <v>5662410</v>
      </c>
      <c r="O110" s="121"/>
      <c r="P110" s="139">
        <v>0.05</v>
      </c>
      <c r="Q110" s="124">
        <f>ROUND(Q$108*P110,0)</f>
        <v>5694585</v>
      </c>
      <c r="R110" s="121"/>
      <c r="S110" s="7"/>
    </row>
    <row r="111" spans="1:19" x14ac:dyDescent="0.25">
      <c r="A111" s="121"/>
      <c r="B111" s="137" t="s">
        <v>78</v>
      </c>
      <c r="C111" s="138">
        <v>0.03</v>
      </c>
      <c r="D111" s="121"/>
      <c r="E111" s="124"/>
      <c r="F111" s="124">
        <f t="shared" si="66"/>
        <v>3432101</v>
      </c>
      <c r="G111" s="139">
        <v>0.03</v>
      </c>
      <c r="H111" s="124">
        <f>ROUND(H$108*G111,0)</f>
        <v>3415066</v>
      </c>
      <c r="I111" s="121"/>
      <c r="J111" s="139">
        <v>0.03</v>
      </c>
      <c r="K111" s="124">
        <f>ROUND(K$108*J111,0)</f>
        <v>3407786</v>
      </c>
      <c r="L111" s="121"/>
      <c r="M111" s="139">
        <v>0.03</v>
      </c>
      <c r="N111" s="124">
        <f>ROUND(N$108*M111,0)</f>
        <v>3397446</v>
      </c>
      <c r="O111" s="121"/>
      <c r="P111" s="139">
        <v>0.03</v>
      </c>
      <c r="Q111" s="124">
        <f>ROUND(Q$108*P111,0)</f>
        <v>3416751</v>
      </c>
      <c r="R111" s="121"/>
      <c r="S111" s="7"/>
    </row>
    <row r="112" spans="1:19" x14ac:dyDescent="0.25">
      <c r="A112" s="121"/>
      <c r="B112" s="140" t="s">
        <v>38</v>
      </c>
      <c r="C112" s="141">
        <f>SUM(C109:C111)</f>
        <v>0.25</v>
      </c>
      <c r="D112" s="121"/>
      <c r="E112" s="124"/>
      <c r="F112" s="133">
        <f>SUM(F109:F111)</f>
        <v>28600844</v>
      </c>
      <c r="G112" s="139">
        <f>SUM(G109:G111)</f>
        <v>0.25</v>
      </c>
      <c r="H112" s="133">
        <f>SUM(H109:H111)</f>
        <v>28458881</v>
      </c>
      <c r="I112" s="121" t="str">
        <f>+IF(G112&lt;=$C$112,"OK","NO OK")</f>
        <v>OK</v>
      </c>
      <c r="J112" s="139">
        <f>SUM(J109:J111)</f>
        <v>0.25</v>
      </c>
      <c r="K112" s="133">
        <f>SUM(K109:K111)</f>
        <v>28398217</v>
      </c>
      <c r="L112" s="121" t="str">
        <f>+IF(J112&lt;=$C$112,"OK","NO OK")</f>
        <v>OK</v>
      </c>
      <c r="M112" s="139">
        <f>SUM(M109:M111)</f>
        <v>0.25</v>
      </c>
      <c r="N112" s="133">
        <f>SUM(N109:N111)</f>
        <v>28312049</v>
      </c>
      <c r="O112" s="121" t="str">
        <f>+IF(M112&lt;=$C$112,"OK","NO OK")</f>
        <v>OK</v>
      </c>
      <c r="P112" s="139">
        <f>SUM(P109:P111)</f>
        <v>0.25</v>
      </c>
      <c r="Q112" s="133">
        <f>SUM(Q109:Q111)</f>
        <v>28472924</v>
      </c>
      <c r="R112" s="121" t="str">
        <f>+IF(P112&lt;=$C$112,"OK","NO OK")</f>
        <v>OK</v>
      </c>
      <c r="S112" s="7"/>
    </row>
    <row r="113" spans="1:19" x14ac:dyDescent="0.25">
      <c r="A113" s="121"/>
      <c r="B113" s="142" t="s">
        <v>39</v>
      </c>
      <c r="C113" s="143">
        <v>0.19</v>
      </c>
      <c r="D113" s="121"/>
      <c r="E113" s="124"/>
      <c r="F113" s="124">
        <f>ROUNDUP(F108*C110*C113,0)</f>
        <v>1086833</v>
      </c>
      <c r="G113" s="139">
        <v>0.19</v>
      </c>
      <c r="H113" s="124">
        <f>ROUND(H108*G110*G113,0)</f>
        <v>1081437</v>
      </c>
      <c r="I113" s="121"/>
      <c r="J113" s="139">
        <v>0.19</v>
      </c>
      <c r="K113" s="124">
        <f>ROUND(K108*J110*J113,0)</f>
        <v>1079132</v>
      </c>
      <c r="L113" s="121"/>
      <c r="M113" s="139">
        <v>0.19</v>
      </c>
      <c r="N113" s="124">
        <f>ROUND(N108*M110*M113,0)</f>
        <v>1075858</v>
      </c>
      <c r="O113" s="121"/>
      <c r="P113" s="139">
        <v>0.19</v>
      </c>
      <c r="Q113" s="124">
        <f>ROUND(Q108*P110*P113,0)</f>
        <v>1081971</v>
      </c>
      <c r="R113" s="121"/>
      <c r="S113" s="7"/>
    </row>
    <row r="114" spans="1:19" x14ac:dyDescent="0.25">
      <c r="A114" s="121"/>
      <c r="B114" s="144" t="s">
        <v>154</v>
      </c>
      <c r="C114" s="121"/>
      <c r="D114" s="39"/>
      <c r="E114" s="124"/>
      <c r="F114" s="133">
        <f>F108+F112+F113</f>
        <v>144091054</v>
      </c>
      <c r="G114" s="145"/>
      <c r="I114" s="121"/>
      <c r="J114" s="145"/>
      <c r="L114" s="121"/>
      <c r="M114" s="145"/>
      <c r="O114" s="121"/>
      <c r="P114" s="145"/>
      <c r="R114" s="121"/>
      <c r="S114" s="7"/>
    </row>
    <row r="115" spans="1:19" x14ac:dyDescent="0.25">
      <c r="A115" s="121"/>
      <c r="B115" s="121"/>
      <c r="C115" s="121"/>
      <c r="D115" s="121"/>
      <c r="E115" s="121"/>
      <c r="F115" s="121"/>
      <c r="G115" s="121"/>
      <c r="H115" s="121"/>
      <c r="I115" s="121"/>
      <c r="J115" s="121"/>
      <c r="K115" s="121"/>
      <c r="L115" s="121"/>
      <c r="M115" s="121"/>
      <c r="N115" s="121"/>
      <c r="O115" s="121"/>
      <c r="P115" s="121"/>
      <c r="Q115" s="121"/>
      <c r="R115" s="121"/>
      <c r="S115" s="7"/>
    </row>
    <row r="116" spans="1:19" ht="15" x14ac:dyDescent="0.25">
      <c r="A116" s="121"/>
      <c r="B116" s="146" t="s">
        <v>136</v>
      </c>
      <c r="C116" s="121"/>
      <c r="D116" s="121"/>
      <c r="E116" s="121"/>
      <c r="F116" s="121"/>
      <c r="G116" s="121"/>
      <c r="H116" s="119">
        <f>H108+H112+H113</f>
        <v>143375843</v>
      </c>
      <c r="I116" s="118" t="str">
        <f>+IF(H116&lt;=$F114,"OK","NO OK")</f>
        <v>OK</v>
      </c>
      <c r="J116" s="121"/>
      <c r="K116" s="119">
        <f>K108+K112+K113</f>
        <v>143070217</v>
      </c>
      <c r="L116" s="118" t="str">
        <f>+IF(K116&lt;=$F114,"OK","NO OK")</f>
        <v>OK</v>
      </c>
      <c r="M116" s="121"/>
      <c r="N116" s="119">
        <f>N108+N112+N113</f>
        <v>142636100</v>
      </c>
      <c r="O116" s="118" t="str">
        <f>+IF(N116&lt;=$F114,"OK","NO OK")</f>
        <v>OK</v>
      </c>
      <c r="P116" s="121"/>
      <c r="Q116" s="119">
        <f>Q108+Q112+Q113</f>
        <v>143446592</v>
      </c>
      <c r="R116" s="118" t="str">
        <f>+IF(Q116&lt;=$F114,"OK","NO OK")</f>
        <v>OK</v>
      </c>
      <c r="S116" s="7"/>
    </row>
    <row r="117" spans="1:19" ht="15" x14ac:dyDescent="0.25">
      <c r="A117" s="121"/>
      <c r="B117" s="146" t="s">
        <v>137</v>
      </c>
      <c r="C117" s="121"/>
      <c r="D117" s="121"/>
      <c r="E117" s="121"/>
      <c r="F117" s="121"/>
      <c r="G117" s="121"/>
      <c r="H117" s="147">
        <f>+ROUND(H116/$F114,4)</f>
        <v>0.995</v>
      </c>
      <c r="I117" s="118" t="str">
        <f>+IF(H117&gt;=95%,"OK","NO OK")</f>
        <v>OK</v>
      </c>
      <c r="J117" s="121"/>
      <c r="K117" s="147">
        <f>+ROUND(K116/$F114,4)</f>
        <v>0.9929</v>
      </c>
      <c r="L117" s="118" t="str">
        <f>+IF(K117&gt;=95%,"OK","NO OK")</f>
        <v>OK</v>
      </c>
      <c r="M117" s="121"/>
      <c r="N117" s="147">
        <f>+ROUND(N116/$F114,4)</f>
        <v>0.9899</v>
      </c>
      <c r="O117" s="118" t="str">
        <f>+IF(N117&gt;=95%,"OK","NO OK")</f>
        <v>OK</v>
      </c>
      <c r="P117" s="121"/>
      <c r="Q117" s="147">
        <f>+ROUND(Q116/$F114,4)</f>
        <v>0.99550000000000005</v>
      </c>
      <c r="R117" s="118" t="str">
        <f>+IF(Q117&gt;=95%,"OK","NO OK")</f>
        <v>OK</v>
      </c>
      <c r="S117" s="7"/>
    </row>
    <row r="118" spans="1:19" x14ac:dyDescent="0.25">
      <c r="A118" s="121"/>
      <c r="B118" s="146" t="s">
        <v>138</v>
      </c>
      <c r="C118" s="121"/>
      <c r="D118" s="121"/>
      <c r="E118" s="121"/>
      <c r="F118" s="121"/>
      <c r="G118" s="121"/>
      <c r="H118" s="133">
        <v>143375843</v>
      </c>
      <c r="I118" s="121"/>
      <c r="J118" s="121"/>
      <c r="K118" s="133">
        <v>143070217</v>
      </c>
      <c r="L118" s="121"/>
      <c r="M118" s="121"/>
      <c r="N118" s="133">
        <v>142636099</v>
      </c>
      <c r="O118" s="121"/>
      <c r="P118" s="121"/>
      <c r="Q118" s="133">
        <v>143446592</v>
      </c>
      <c r="R118" s="121"/>
      <c r="S118" s="7"/>
    </row>
    <row r="119" spans="1:19" x14ac:dyDescent="0.25">
      <c r="A119" s="121"/>
      <c r="B119" s="146" t="s">
        <v>139</v>
      </c>
      <c r="C119" s="121"/>
      <c r="D119" s="121"/>
      <c r="E119" s="121"/>
      <c r="F119" s="121"/>
      <c r="G119" s="121"/>
      <c r="H119" s="133">
        <f>+ABS(H116-H118)</f>
        <v>0</v>
      </c>
      <c r="I119" s="121"/>
      <c r="J119" s="121"/>
      <c r="K119" s="133">
        <f>+ABS(K116-K118)</f>
        <v>0</v>
      </c>
      <c r="L119" s="121"/>
      <c r="M119" s="121"/>
      <c r="N119" s="133">
        <f>+ABS(N116-N118)</f>
        <v>1</v>
      </c>
      <c r="O119" s="121"/>
      <c r="P119" s="121"/>
      <c r="Q119" s="133">
        <f>+ABS(Q116-Q118)</f>
        <v>0</v>
      </c>
      <c r="R119" s="121"/>
      <c r="S119" s="7"/>
    </row>
    <row r="120" spans="1:19" ht="15" x14ac:dyDescent="0.25">
      <c r="A120" s="121"/>
      <c r="B120" s="146" t="s">
        <v>140</v>
      </c>
      <c r="C120" s="121"/>
      <c r="D120" s="121"/>
      <c r="E120" s="121"/>
      <c r="F120" s="121"/>
      <c r="G120" s="121"/>
      <c r="H120" s="275">
        <f>+H119/H118</f>
        <v>0</v>
      </c>
      <c r="I120" s="120" t="str">
        <f>+IF(H120&gt;0.1%,"NO OK","OK")</f>
        <v>OK</v>
      </c>
      <c r="J120" s="121"/>
      <c r="K120" s="275">
        <f>+K119/K118</f>
        <v>0</v>
      </c>
      <c r="L120" s="120" t="str">
        <f>+IF(K120&gt;0.1%,"NO OK","OK")</f>
        <v>OK</v>
      </c>
      <c r="M120" s="121"/>
      <c r="N120" s="275">
        <f>+N119/N118</f>
        <v>7.0108479340843446E-9</v>
      </c>
      <c r="O120" s="120" t="str">
        <f>+IF(N120&gt;0.1%,"NO OK","OK")</f>
        <v>OK</v>
      </c>
      <c r="P120" s="121"/>
      <c r="Q120" s="275">
        <f>+Q119/Q118</f>
        <v>0</v>
      </c>
      <c r="R120" s="120" t="str">
        <f>+IF(Q120&gt;0.1%,"NO OK","OK")</f>
        <v>OK</v>
      </c>
      <c r="S120" s="7"/>
    </row>
    <row r="121" spans="1:19" ht="15" x14ac:dyDescent="0.25">
      <c r="A121" s="121"/>
      <c r="B121" s="146" t="s">
        <v>141</v>
      </c>
      <c r="C121" s="121"/>
      <c r="D121" s="121"/>
      <c r="E121" s="121"/>
      <c r="F121" s="121"/>
      <c r="G121" s="121"/>
      <c r="H121" s="121"/>
      <c r="I121" s="120" t="s">
        <v>89</v>
      </c>
      <c r="J121" s="121"/>
      <c r="K121" s="121"/>
      <c r="L121" s="120" t="s">
        <v>89</v>
      </c>
      <c r="M121" s="121"/>
      <c r="N121" s="121"/>
      <c r="O121" s="120" t="s">
        <v>89</v>
      </c>
      <c r="P121" s="121"/>
      <c r="Q121" s="121"/>
      <c r="R121" s="120" t="s">
        <v>89</v>
      </c>
      <c r="S121" s="7"/>
    </row>
    <row r="122" spans="1:19" ht="15" x14ac:dyDescent="0.25">
      <c r="A122" s="121"/>
      <c r="B122" s="146" t="s">
        <v>142</v>
      </c>
      <c r="C122" s="121"/>
      <c r="D122" s="121"/>
      <c r="E122" s="121"/>
      <c r="F122" s="121"/>
      <c r="G122" s="340" t="str">
        <f>+IF(I116="OK",IF(I117="OK",IF(I120="OK",IF(I121="OK",IF(I112="OK","SI","NO"),"NO"),"NO"),"NO"),"NO")</f>
        <v>SI</v>
      </c>
      <c r="H122" s="341"/>
      <c r="I122" s="342"/>
      <c r="J122" s="340" t="str">
        <f>+IF(L116="OK",IF(L117="OK",IF(L120="OK",IF(L121="OK",IF(L112="OK","SI","NO"),"NO"),"NO"),"NO"),"NO")</f>
        <v>SI</v>
      </c>
      <c r="K122" s="341"/>
      <c r="L122" s="342"/>
      <c r="M122" s="340" t="str">
        <f>+IF(O116="OK",IF(O117="OK",IF(O120="OK",IF(O121="OK",IF(O112="OK","SI","NO"),"NO"),"NO"),"NO"),"NO")</f>
        <v>SI</v>
      </c>
      <c r="N122" s="341"/>
      <c r="O122" s="342"/>
      <c r="P122" s="340" t="str">
        <f>+IF(R116="OK",IF(R117="OK",IF(R120="OK",IF(R121="OK",IF(R112="OK","SI","NO"),"NO"),"NO"),"NO"),"NO")</f>
        <v>SI</v>
      </c>
      <c r="Q122" s="341"/>
      <c r="R122" s="342"/>
      <c r="S122" s="7"/>
    </row>
    <row r="123" spans="1:19" x14ac:dyDescent="0.25">
      <c r="S123" s="7"/>
    </row>
    <row r="124" spans="1:19" ht="15.75" x14ac:dyDescent="0.25">
      <c r="B124" s="87" t="s">
        <v>113</v>
      </c>
      <c r="G124" s="87"/>
      <c r="H124" s="95"/>
      <c r="I124" s="95"/>
      <c r="J124" s="87"/>
      <c r="K124" s="95"/>
      <c r="L124" s="95"/>
      <c r="M124" s="87"/>
      <c r="N124" s="95"/>
      <c r="O124" s="95"/>
      <c r="P124" s="87"/>
      <c r="Q124" s="95"/>
      <c r="R124" s="95"/>
      <c r="S124" s="7"/>
    </row>
    <row r="125" spans="1:19" x14ac:dyDescent="0.25">
      <c r="G125" s="94"/>
      <c r="H125" s="95"/>
      <c r="I125" s="95"/>
      <c r="J125" s="94"/>
      <c r="K125" s="95"/>
      <c r="L125" s="95"/>
      <c r="M125" s="94"/>
      <c r="N125" s="95"/>
      <c r="O125" s="95"/>
      <c r="P125" s="94"/>
      <c r="Q125" s="95"/>
      <c r="R125" s="95"/>
    </row>
    <row r="126" spans="1:19" x14ac:dyDescent="0.25">
      <c r="G126" s="94"/>
      <c r="H126" s="95"/>
      <c r="I126" s="95"/>
      <c r="J126" s="94"/>
      <c r="K126" s="95"/>
      <c r="L126" s="95"/>
      <c r="M126" s="94"/>
      <c r="N126" s="95"/>
      <c r="O126" s="95"/>
      <c r="P126" s="94"/>
      <c r="Q126" s="95"/>
      <c r="R126" s="95"/>
    </row>
    <row r="127" spans="1:19" x14ac:dyDescent="0.25">
      <c r="G127" s="94"/>
      <c r="H127" s="95"/>
      <c r="I127" s="95"/>
      <c r="J127" s="94"/>
      <c r="K127" s="95"/>
      <c r="L127" s="95"/>
      <c r="M127" s="94"/>
      <c r="N127" s="95"/>
      <c r="O127" s="95"/>
      <c r="P127" s="94"/>
      <c r="Q127" s="95"/>
      <c r="R127" s="95"/>
    </row>
    <row r="128" spans="1:19" ht="15.75" x14ac:dyDescent="0.25">
      <c r="B128" s="97" t="s">
        <v>114</v>
      </c>
      <c r="C128" s="97"/>
      <c r="G128" s="97"/>
      <c r="H128" s="95"/>
      <c r="I128" s="97"/>
      <c r="J128" s="97"/>
      <c r="K128" s="95"/>
      <c r="L128" s="97"/>
      <c r="M128" s="97"/>
      <c r="N128" s="95"/>
      <c r="O128" s="97"/>
      <c r="P128" s="97"/>
      <c r="Q128" s="95"/>
      <c r="R128" s="97"/>
    </row>
    <row r="129" spans="2:18" ht="15.75" x14ac:dyDescent="0.25">
      <c r="B129" s="98" t="s">
        <v>398</v>
      </c>
      <c r="C129" s="98"/>
      <c r="G129" s="98"/>
      <c r="H129" s="95"/>
      <c r="I129" s="98"/>
      <c r="J129" s="98"/>
      <c r="K129" s="95"/>
      <c r="L129" s="98"/>
      <c r="M129" s="98"/>
      <c r="N129" s="95"/>
      <c r="O129" s="98"/>
      <c r="P129" s="98"/>
      <c r="Q129" s="95"/>
      <c r="R129" s="98"/>
    </row>
    <row r="130" spans="2:18" ht="15.75" x14ac:dyDescent="0.25">
      <c r="B130" s="98"/>
      <c r="G130" s="98"/>
      <c r="H130" s="95"/>
      <c r="I130" s="95"/>
      <c r="J130" s="98"/>
      <c r="K130" s="95"/>
      <c r="L130" s="95"/>
      <c r="M130" s="98"/>
      <c r="N130" s="95"/>
      <c r="O130" s="95"/>
      <c r="P130" s="98"/>
      <c r="Q130" s="95"/>
      <c r="R130" s="95"/>
    </row>
    <row r="131" spans="2:18" ht="15.75" x14ac:dyDescent="0.25">
      <c r="B131" s="98"/>
      <c r="G131" s="98"/>
      <c r="H131" s="99"/>
      <c r="I131" s="99"/>
      <c r="J131" s="98"/>
      <c r="K131" s="99"/>
      <c r="L131" s="99"/>
      <c r="M131" s="98"/>
      <c r="N131" s="99"/>
      <c r="O131" s="99"/>
      <c r="P131" s="98"/>
      <c r="Q131" s="99"/>
      <c r="R131" s="99"/>
    </row>
    <row r="132" spans="2:18" ht="15.75" x14ac:dyDescent="0.25">
      <c r="B132" s="98"/>
      <c r="G132" s="98"/>
      <c r="H132" s="99"/>
      <c r="I132" s="99"/>
      <c r="J132" s="98"/>
      <c r="K132" s="99"/>
      <c r="L132" s="99"/>
      <c r="M132" s="98"/>
      <c r="N132" s="99"/>
      <c r="O132" s="99"/>
      <c r="P132" s="98"/>
      <c r="Q132" s="99"/>
      <c r="R132" s="99"/>
    </row>
    <row r="133" spans="2:18" ht="15.75" x14ac:dyDescent="0.25">
      <c r="B133" s="97" t="s">
        <v>116</v>
      </c>
      <c r="C133" s="97"/>
      <c r="G133" s="97"/>
      <c r="H133" s="97"/>
      <c r="I133" s="97"/>
      <c r="J133" s="97"/>
      <c r="K133" s="97"/>
      <c r="L133" s="97"/>
      <c r="M133" s="97"/>
      <c r="N133" s="97"/>
      <c r="O133" s="97"/>
      <c r="P133" s="97"/>
      <c r="Q133" s="97"/>
      <c r="R133" s="97"/>
    </row>
    <row r="134" spans="2:18" ht="15.75" x14ac:dyDescent="0.25">
      <c r="B134" s="98" t="s">
        <v>117</v>
      </c>
      <c r="C134" s="98"/>
      <c r="G134" s="98"/>
      <c r="H134" s="99"/>
      <c r="I134" s="99"/>
      <c r="J134" s="98"/>
      <c r="K134" s="99"/>
      <c r="L134" s="99"/>
      <c r="M134" s="98"/>
      <c r="N134" s="99"/>
      <c r="O134" s="99"/>
      <c r="P134" s="98"/>
      <c r="Q134" s="99"/>
      <c r="R134" s="99"/>
    </row>
    <row r="135" spans="2:18" ht="15.75" x14ac:dyDescent="0.25">
      <c r="B135" s="98" t="s">
        <v>118</v>
      </c>
      <c r="G135" s="98"/>
      <c r="H135" s="99"/>
      <c r="I135" s="99"/>
      <c r="J135" s="98"/>
      <c r="K135" s="99"/>
      <c r="L135" s="99"/>
      <c r="M135" s="98"/>
      <c r="N135" s="99"/>
      <c r="O135" s="99"/>
      <c r="P135" s="98"/>
      <c r="Q135" s="99"/>
      <c r="R135" s="99"/>
    </row>
  </sheetData>
  <mergeCells count="25">
    <mergeCell ref="A6:F6"/>
    <mergeCell ref="G6:G7"/>
    <mergeCell ref="H6:H7"/>
    <mergeCell ref="A1:F1"/>
    <mergeCell ref="A2:F2"/>
    <mergeCell ref="A3:F4"/>
    <mergeCell ref="G3:I4"/>
    <mergeCell ref="A5:F5"/>
    <mergeCell ref="G5:I5"/>
    <mergeCell ref="M3:O4"/>
    <mergeCell ref="M5:O5"/>
    <mergeCell ref="N6:N7"/>
    <mergeCell ref="G122:I122"/>
    <mergeCell ref="J122:L122"/>
    <mergeCell ref="M122:O122"/>
    <mergeCell ref="M6:M7"/>
    <mergeCell ref="J3:L4"/>
    <mergeCell ref="J5:L5"/>
    <mergeCell ref="J6:J7"/>
    <mergeCell ref="K6:K7"/>
    <mergeCell ref="P3:R4"/>
    <mergeCell ref="P5:R5"/>
    <mergeCell ref="P6:P7"/>
    <mergeCell ref="Q6:Q7"/>
    <mergeCell ref="P122:R122"/>
  </mergeCells>
  <conditionalFormatting sqref="I9:I18 I107">
    <cfRule type="containsText" dxfId="60" priority="132" operator="containsText" text="NO OK">
      <formula>NOT(ISERROR(SEARCH("NO OK",I9)))</formula>
    </cfRule>
  </conditionalFormatting>
  <conditionalFormatting sqref="I120">
    <cfRule type="containsText" dxfId="59" priority="131" operator="containsText" text="NO OK">
      <formula>NOT(ISERROR(SEARCH("NO OK",I120)))</formula>
    </cfRule>
  </conditionalFormatting>
  <conditionalFormatting sqref="I116:I117">
    <cfRule type="containsText" dxfId="58" priority="130" operator="containsText" text="NO OK">
      <formula>NOT(ISERROR(SEARCH("NO OK",I116)))</formula>
    </cfRule>
  </conditionalFormatting>
  <conditionalFormatting sqref="I121">
    <cfRule type="containsText" dxfId="57" priority="129" operator="containsText" text="NO OK">
      <formula>NOT(ISERROR(SEARCH("NO OK",I121)))</formula>
    </cfRule>
  </conditionalFormatting>
  <conditionalFormatting sqref="I112">
    <cfRule type="cellIs" dxfId="56" priority="121" operator="equal">
      <formula>"NO OK"</formula>
    </cfRule>
  </conditionalFormatting>
  <conditionalFormatting sqref="G122">
    <cfRule type="containsText" dxfId="55" priority="118" operator="containsText" text="NO">
      <formula>NOT(ISERROR(SEARCH("NO",G122)))</formula>
    </cfRule>
  </conditionalFormatting>
  <conditionalFormatting sqref="I19:I23 I26:I30 I33:I43 I46:I54 I57:I64 I67:I77 I80:I88 I91:I100 I103:I106">
    <cfRule type="containsText" dxfId="54" priority="91" operator="containsText" text="NO OK">
      <formula>NOT(ISERROR(SEARCH("NO OK",I19)))</formula>
    </cfRule>
  </conditionalFormatting>
  <conditionalFormatting sqref="I101">
    <cfRule type="containsText" dxfId="53" priority="86" operator="containsText" text="NO OK">
      <formula>NOT(ISERROR(SEARCH("NO OK",I101)))</formula>
    </cfRule>
  </conditionalFormatting>
  <conditionalFormatting sqref="I89">
    <cfRule type="containsText" dxfId="52" priority="81" operator="containsText" text="NO OK">
      <formula>NOT(ISERROR(SEARCH("NO OK",I89)))</formula>
    </cfRule>
  </conditionalFormatting>
  <conditionalFormatting sqref="I78">
    <cfRule type="containsText" dxfId="51" priority="76" operator="containsText" text="NO OK">
      <formula>NOT(ISERROR(SEARCH("NO OK",I78)))</formula>
    </cfRule>
  </conditionalFormatting>
  <conditionalFormatting sqref="I65">
    <cfRule type="containsText" dxfId="50" priority="71" operator="containsText" text="NO OK">
      <formula>NOT(ISERROR(SEARCH("NO OK",I65)))</formula>
    </cfRule>
  </conditionalFormatting>
  <conditionalFormatting sqref="I55">
    <cfRule type="containsText" dxfId="49" priority="66" operator="containsText" text="NO OK">
      <formula>NOT(ISERROR(SEARCH("NO OK",I55)))</formula>
    </cfRule>
  </conditionalFormatting>
  <conditionalFormatting sqref="I44">
    <cfRule type="containsText" dxfId="48" priority="61" operator="containsText" text="NO OK">
      <formula>NOT(ISERROR(SEARCH("NO OK",I44)))</formula>
    </cfRule>
  </conditionalFormatting>
  <conditionalFormatting sqref="I31">
    <cfRule type="containsText" dxfId="47" priority="56" operator="containsText" text="NO OK">
      <formula>NOT(ISERROR(SEARCH("NO OK",I31)))</formula>
    </cfRule>
  </conditionalFormatting>
  <conditionalFormatting sqref="I24">
    <cfRule type="containsText" dxfId="46" priority="51" operator="containsText" text="NO OK">
      <formula>NOT(ISERROR(SEARCH("NO OK",I24)))</formula>
    </cfRule>
  </conditionalFormatting>
  <conditionalFormatting sqref="L9:L18 L107">
    <cfRule type="containsText" dxfId="45" priority="46" operator="containsText" text="NO OK">
      <formula>NOT(ISERROR(SEARCH("NO OK",L9)))</formula>
    </cfRule>
  </conditionalFormatting>
  <conditionalFormatting sqref="L120">
    <cfRule type="containsText" dxfId="44" priority="45" operator="containsText" text="NO OK">
      <formula>NOT(ISERROR(SEARCH("NO OK",L120)))</formula>
    </cfRule>
  </conditionalFormatting>
  <conditionalFormatting sqref="L116:L117">
    <cfRule type="containsText" dxfId="43" priority="44" operator="containsText" text="NO OK">
      <formula>NOT(ISERROR(SEARCH("NO OK",L116)))</formula>
    </cfRule>
  </conditionalFormatting>
  <conditionalFormatting sqref="L121">
    <cfRule type="containsText" dxfId="42" priority="43" operator="containsText" text="NO OK">
      <formula>NOT(ISERROR(SEARCH("NO OK",L121)))</formula>
    </cfRule>
  </conditionalFormatting>
  <conditionalFormatting sqref="L112">
    <cfRule type="cellIs" dxfId="41" priority="42" operator="equal">
      <formula>"NO OK"</formula>
    </cfRule>
  </conditionalFormatting>
  <conditionalFormatting sqref="J122">
    <cfRule type="containsText" dxfId="40" priority="41" operator="containsText" text="NO">
      <formula>NOT(ISERROR(SEARCH("NO",J122)))</formula>
    </cfRule>
  </conditionalFormatting>
  <conditionalFormatting sqref="L19:L23 L26:L30 L33:L43 L46:L54 L57:L64 L67:L77 L80:L88 L91:L100 L103:L106">
    <cfRule type="containsText" dxfId="39" priority="40" operator="containsText" text="NO OK">
      <formula>NOT(ISERROR(SEARCH("NO OK",L19)))</formula>
    </cfRule>
  </conditionalFormatting>
  <conditionalFormatting sqref="L101">
    <cfRule type="containsText" dxfId="38" priority="39" operator="containsText" text="NO OK">
      <formula>NOT(ISERROR(SEARCH("NO OK",L101)))</formula>
    </cfRule>
  </conditionalFormatting>
  <conditionalFormatting sqref="L89">
    <cfRule type="containsText" dxfId="37" priority="38" operator="containsText" text="NO OK">
      <formula>NOT(ISERROR(SEARCH("NO OK",L89)))</formula>
    </cfRule>
  </conditionalFormatting>
  <conditionalFormatting sqref="L78">
    <cfRule type="containsText" dxfId="36" priority="37" operator="containsText" text="NO OK">
      <formula>NOT(ISERROR(SEARCH("NO OK",L78)))</formula>
    </cfRule>
  </conditionalFormatting>
  <conditionalFormatting sqref="L65">
    <cfRule type="containsText" dxfId="35" priority="36" operator="containsText" text="NO OK">
      <formula>NOT(ISERROR(SEARCH("NO OK",L65)))</formula>
    </cfRule>
  </conditionalFormatting>
  <conditionalFormatting sqref="L55">
    <cfRule type="containsText" dxfId="34" priority="35" operator="containsText" text="NO OK">
      <formula>NOT(ISERROR(SEARCH("NO OK",L55)))</formula>
    </cfRule>
  </conditionalFormatting>
  <conditionalFormatting sqref="L44">
    <cfRule type="containsText" dxfId="33" priority="34" operator="containsText" text="NO OK">
      <formula>NOT(ISERROR(SEARCH("NO OK",L44)))</formula>
    </cfRule>
  </conditionalFormatting>
  <conditionalFormatting sqref="L31">
    <cfRule type="containsText" dxfId="32" priority="33" operator="containsText" text="NO OK">
      <formula>NOT(ISERROR(SEARCH("NO OK",L31)))</formula>
    </cfRule>
  </conditionalFormatting>
  <conditionalFormatting sqref="L24">
    <cfRule type="containsText" dxfId="31" priority="32" operator="containsText" text="NO OK">
      <formula>NOT(ISERROR(SEARCH("NO OK",L24)))</formula>
    </cfRule>
  </conditionalFormatting>
  <conditionalFormatting sqref="O9:O18 O107">
    <cfRule type="containsText" dxfId="30" priority="31" operator="containsText" text="NO OK">
      <formula>NOT(ISERROR(SEARCH("NO OK",O9)))</formula>
    </cfRule>
  </conditionalFormatting>
  <conditionalFormatting sqref="O120">
    <cfRule type="containsText" dxfId="29" priority="30" operator="containsText" text="NO OK">
      <formula>NOT(ISERROR(SEARCH("NO OK",O120)))</formula>
    </cfRule>
  </conditionalFormatting>
  <conditionalFormatting sqref="O116:O117">
    <cfRule type="containsText" dxfId="28" priority="29" operator="containsText" text="NO OK">
      <formula>NOT(ISERROR(SEARCH("NO OK",O116)))</formula>
    </cfRule>
  </conditionalFormatting>
  <conditionalFormatting sqref="O121">
    <cfRule type="containsText" dxfId="27" priority="28" operator="containsText" text="NO OK">
      <formula>NOT(ISERROR(SEARCH("NO OK",O121)))</formula>
    </cfRule>
  </conditionalFormatting>
  <conditionalFormatting sqref="O112">
    <cfRule type="cellIs" dxfId="26" priority="27" operator="equal">
      <formula>"NO OK"</formula>
    </cfRule>
  </conditionalFormatting>
  <conditionalFormatting sqref="M122">
    <cfRule type="containsText" dxfId="25" priority="26" operator="containsText" text="NO">
      <formula>NOT(ISERROR(SEARCH("NO",M122)))</formula>
    </cfRule>
  </conditionalFormatting>
  <conditionalFormatting sqref="O19:O23 O26:O30 O33:O43 O46:O54 O57:O64 O67:O77 O80:O88 O91:O100 O103:O106">
    <cfRule type="containsText" dxfId="24" priority="25" operator="containsText" text="NO OK">
      <formula>NOT(ISERROR(SEARCH("NO OK",O19)))</formula>
    </cfRule>
  </conditionalFormatting>
  <conditionalFormatting sqref="O101">
    <cfRule type="containsText" dxfId="23" priority="24" operator="containsText" text="NO OK">
      <formula>NOT(ISERROR(SEARCH("NO OK",O101)))</formula>
    </cfRule>
  </conditionalFormatting>
  <conditionalFormatting sqref="O89">
    <cfRule type="containsText" dxfId="22" priority="23" operator="containsText" text="NO OK">
      <formula>NOT(ISERROR(SEARCH("NO OK",O89)))</formula>
    </cfRule>
  </conditionalFormatting>
  <conditionalFormatting sqref="O78">
    <cfRule type="containsText" dxfId="21" priority="22" operator="containsText" text="NO OK">
      <formula>NOT(ISERROR(SEARCH("NO OK",O78)))</formula>
    </cfRule>
  </conditionalFormatting>
  <conditionalFormatting sqref="O65">
    <cfRule type="containsText" dxfId="20" priority="21" operator="containsText" text="NO OK">
      <formula>NOT(ISERROR(SEARCH("NO OK",O65)))</formula>
    </cfRule>
  </conditionalFormatting>
  <conditionalFormatting sqref="O55">
    <cfRule type="containsText" dxfId="19" priority="20" operator="containsText" text="NO OK">
      <formula>NOT(ISERROR(SEARCH("NO OK",O55)))</formula>
    </cfRule>
  </conditionalFormatting>
  <conditionalFormatting sqref="O44">
    <cfRule type="containsText" dxfId="18" priority="19" operator="containsText" text="NO OK">
      <formula>NOT(ISERROR(SEARCH("NO OK",O44)))</formula>
    </cfRule>
  </conditionalFormatting>
  <conditionalFormatting sqref="O31">
    <cfRule type="containsText" dxfId="17" priority="18" operator="containsText" text="NO OK">
      <formula>NOT(ISERROR(SEARCH("NO OK",O31)))</formula>
    </cfRule>
  </conditionalFormatting>
  <conditionalFormatting sqref="O24">
    <cfRule type="containsText" dxfId="16" priority="17" operator="containsText" text="NO OK">
      <formula>NOT(ISERROR(SEARCH("NO OK",O24)))</formula>
    </cfRule>
  </conditionalFormatting>
  <conditionalFormatting sqref="R9:R18 R107">
    <cfRule type="containsText" dxfId="15" priority="16" operator="containsText" text="NO OK">
      <formula>NOT(ISERROR(SEARCH("NO OK",R9)))</formula>
    </cfRule>
  </conditionalFormatting>
  <conditionalFormatting sqref="R120">
    <cfRule type="containsText" dxfId="14" priority="15" operator="containsText" text="NO OK">
      <formula>NOT(ISERROR(SEARCH("NO OK",R120)))</formula>
    </cfRule>
  </conditionalFormatting>
  <conditionalFormatting sqref="R116:R117">
    <cfRule type="containsText" dxfId="13" priority="14" operator="containsText" text="NO OK">
      <formula>NOT(ISERROR(SEARCH("NO OK",R116)))</formula>
    </cfRule>
  </conditionalFormatting>
  <conditionalFormatting sqref="R121">
    <cfRule type="containsText" dxfId="12" priority="13" operator="containsText" text="NO OK">
      <formula>NOT(ISERROR(SEARCH("NO OK",R121)))</formula>
    </cfRule>
  </conditionalFormatting>
  <conditionalFormatting sqref="R112">
    <cfRule type="cellIs" dxfId="11" priority="12" operator="equal">
      <formula>"NO OK"</formula>
    </cfRule>
  </conditionalFormatting>
  <conditionalFormatting sqref="P122">
    <cfRule type="containsText" dxfId="10" priority="11" operator="containsText" text="NO">
      <formula>NOT(ISERROR(SEARCH("NO",P122)))</formula>
    </cfRule>
  </conditionalFormatting>
  <conditionalFormatting sqref="R19:R23 R26:R30 R33:R43 R46:R54 R57:R64 R67:R77 R80:R88 R91:R100 R103:R106">
    <cfRule type="containsText" dxfId="9" priority="10" operator="containsText" text="NO OK">
      <formula>NOT(ISERROR(SEARCH("NO OK",R19)))</formula>
    </cfRule>
  </conditionalFormatting>
  <conditionalFormatting sqref="R101">
    <cfRule type="containsText" dxfId="8" priority="9" operator="containsText" text="NO OK">
      <formula>NOT(ISERROR(SEARCH("NO OK",R101)))</formula>
    </cfRule>
  </conditionalFormatting>
  <conditionalFormatting sqref="R89">
    <cfRule type="containsText" dxfId="7" priority="8" operator="containsText" text="NO OK">
      <formula>NOT(ISERROR(SEARCH("NO OK",R89)))</formula>
    </cfRule>
  </conditionalFormatting>
  <conditionalFormatting sqref="R78">
    <cfRule type="containsText" dxfId="6" priority="7" operator="containsText" text="NO OK">
      <formula>NOT(ISERROR(SEARCH("NO OK",R78)))</formula>
    </cfRule>
  </conditionalFormatting>
  <conditionalFormatting sqref="R65">
    <cfRule type="containsText" dxfId="5" priority="6" operator="containsText" text="NO OK">
      <formula>NOT(ISERROR(SEARCH("NO OK",R65)))</formula>
    </cfRule>
  </conditionalFormatting>
  <conditionalFormatting sqref="R55">
    <cfRule type="containsText" dxfId="4" priority="5" operator="containsText" text="NO OK">
      <formula>NOT(ISERROR(SEARCH("NO OK",R55)))</formula>
    </cfRule>
  </conditionalFormatting>
  <conditionalFormatting sqref="R44">
    <cfRule type="containsText" dxfId="3" priority="4" operator="containsText" text="NO OK">
      <formula>NOT(ISERROR(SEARCH("NO OK",R44)))</formula>
    </cfRule>
  </conditionalFormatting>
  <conditionalFormatting sqref="R31">
    <cfRule type="containsText" dxfId="2" priority="3" operator="containsText" text="NO OK">
      <formula>NOT(ISERROR(SEARCH("NO OK",R31)))</formula>
    </cfRule>
  </conditionalFormatting>
  <conditionalFormatting sqref="R24">
    <cfRule type="containsText" dxfId="1" priority="2" operator="containsText" text="NO OK">
      <formula>NOT(ISERROR(SEARCH("NO OK",R24)))</formula>
    </cfRule>
  </conditionalFormatting>
  <conditionalFormatting sqref="G122:R122">
    <cfRule type="containsText" dxfId="0" priority="1" operator="containsText" text="SI">
      <formula>NOT(ISERROR(SEARCH("SI",G122)))</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workbookViewId="0">
      <selection activeCell="A101" sqref="A101"/>
    </sheetView>
  </sheetViews>
  <sheetFormatPr baseColWidth="10" defaultRowHeight="15" x14ac:dyDescent="0.25"/>
  <cols>
    <col min="2" max="2" width="46" customWidth="1"/>
    <col min="5" max="5" width="15.42578125" customWidth="1"/>
    <col min="6" max="6" width="16.28515625" customWidth="1"/>
  </cols>
  <sheetData>
    <row r="1" spans="1:6" ht="38.25" customHeight="1" x14ac:dyDescent="0.25">
      <c r="A1" s="345" t="s">
        <v>254</v>
      </c>
      <c r="B1" s="345"/>
      <c r="C1" s="345"/>
      <c r="D1" s="345"/>
      <c r="E1" s="345"/>
      <c r="F1" s="345"/>
    </row>
    <row r="2" spans="1:6" x14ac:dyDescent="0.25">
      <c r="A2" s="253" t="s">
        <v>255</v>
      </c>
      <c r="B2" s="253" t="s">
        <v>256</v>
      </c>
      <c r="C2" s="253" t="s">
        <v>257</v>
      </c>
      <c r="D2" s="253" t="s">
        <v>1</v>
      </c>
      <c r="E2" s="254" t="s">
        <v>258</v>
      </c>
      <c r="F2" s="253" t="s">
        <v>259</v>
      </c>
    </row>
    <row r="3" spans="1:6" x14ac:dyDescent="0.25">
      <c r="A3" s="254">
        <v>1</v>
      </c>
      <c r="B3" s="259" t="s">
        <v>260</v>
      </c>
      <c r="C3" s="255"/>
      <c r="D3" s="255"/>
      <c r="E3" s="255"/>
      <c r="F3" s="255"/>
    </row>
    <row r="4" spans="1:6" ht="25.5" x14ac:dyDescent="0.25">
      <c r="A4" s="256" t="s">
        <v>261</v>
      </c>
      <c r="B4" s="257" t="s">
        <v>262</v>
      </c>
      <c r="C4" s="256" t="s">
        <v>56</v>
      </c>
      <c r="D4" s="256">
        <v>2137</v>
      </c>
      <c r="E4" s="260">
        <v>3459</v>
      </c>
      <c r="F4" s="260">
        <f>+ROUND(D4*E4,0)</f>
        <v>7391883</v>
      </c>
    </row>
    <row r="5" spans="1:6" ht="51" x14ac:dyDescent="0.25">
      <c r="A5" s="256" t="s">
        <v>263</v>
      </c>
      <c r="B5" s="257" t="s">
        <v>264</v>
      </c>
      <c r="C5" s="256" t="s">
        <v>56</v>
      </c>
      <c r="D5" s="256">
        <v>2137</v>
      </c>
      <c r="E5" s="260">
        <v>6050</v>
      </c>
      <c r="F5" s="260">
        <f t="shared" ref="F5:F18" si="0">+ROUND(D5*E5,0)</f>
        <v>12928850</v>
      </c>
    </row>
    <row r="6" spans="1:6" ht="51" x14ac:dyDescent="0.25">
      <c r="A6" s="256" t="s">
        <v>265</v>
      </c>
      <c r="B6" s="257" t="s">
        <v>266</v>
      </c>
      <c r="C6" s="256" t="s">
        <v>56</v>
      </c>
      <c r="D6" s="256">
        <v>156</v>
      </c>
      <c r="E6" s="260">
        <v>12983</v>
      </c>
      <c r="F6" s="260">
        <f t="shared" si="0"/>
        <v>2025348</v>
      </c>
    </row>
    <row r="7" spans="1:6" ht="38.25" x14ac:dyDescent="0.25">
      <c r="A7" s="256" t="s">
        <v>267</v>
      </c>
      <c r="B7" s="257" t="s">
        <v>268</v>
      </c>
      <c r="C7" s="256" t="s">
        <v>56</v>
      </c>
      <c r="D7" s="256">
        <v>400</v>
      </c>
      <c r="E7" s="260">
        <v>5894</v>
      </c>
      <c r="F7" s="260">
        <f t="shared" si="0"/>
        <v>2357600</v>
      </c>
    </row>
    <row r="8" spans="1:6" ht="25.5" x14ac:dyDescent="0.25">
      <c r="A8" s="256" t="s">
        <v>269</v>
      </c>
      <c r="B8" s="257" t="s">
        <v>270</v>
      </c>
      <c r="C8" s="256" t="s">
        <v>257</v>
      </c>
      <c r="D8" s="256">
        <v>25</v>
      </c>
      <c r="E8" s="260">
        <v>55630</v>
      </c>
      <c r="F8" s="260">
        <f t="shared" si="0"/>
        <v>1390750</v>
      </c>
    </row>
    <row r="9" spans="1:6" ht="25.5" x14ac:dyDescent="0.25">
      <c r="A9" s="256" t="s">
        <v>271</v>
      </c>
      <c r="B9" s="257" t="s">
        <v>272</v>
      </c>
      <c r="C9" s="256" t="s">
        <v>257</v>
      </c>
      <c r="D9" s="256">
        <v>68</v>
      </c>
      <c r="E9" s="260">
        <v>35674</v>
      </c>
      <c r="F9" s="260">
        <f t="shared" si="0"/>
        <v>2425832</v>
      </c>
    </row>
    <row r="10" spans="1:6" x14ac:dyDescent="0.25">
      <c r="A10" s="256" t="s">
        <v>273</v>
      </c>
      <c r="B10" s="257" t="s">
        <v>274</v>
      </c>
      <c r="C10" s="256" t="s">
        <v>153</v>
      </c>
      <c r="D10" s="256">
        <v>444</v>
      </c>
      <c r="E10" s="260">
        <v>4265</v>
      </c>
      <c r="F10" s="260">
        <f t="shared" si="0"/>
        <v>1893660</v>
      </c>
    </row>
    <row r="11" spans="1:6" ht="25.5" x14ac:dyDescent="0.25">
      <c r="A11" s="256" t="s">
        <v>275</v>
      </c>
      <c r="B11" s="257" t="s">
        <v>276</v>
      </c>
      <c r="C11" s="256" t="s">
        <v>153</v>
      </c>
      <c r="D11" s="256">
        <v>113</v>
      </c>
      <c r="E11" s="260">
        <v>3301</v>
      </c>
      <c r="F11" s="260">
        <f t="shared" si="0"/>
        <v>373013</v>
      </c>
    </row>
    <row r="12" spans="1:6" ht="25.5" x14ac:dyDescent="0.25">
      <c r="A12" s="256" t="s">
        <v>277</v>
      </c>
      <c r="B12" s="257" t="s">
        <v>278</v>
      </c>
      <c r="C12" s="256" t="s">
        <v>257</v>
      </c>
      <c r="D12" s="256">
        <v>3</v>
      </c>
      <c r="E12" s="260">
        <v>135528</v>
      </c>
      <c r="F12" s="260">
        <f t="shared" si="0"/>
        <v>406584</v>
      </c>
    </row>
    <row r="13" spans="1:6" ht="25.5" x14ac:dyDescent="0.25">
      <c r="A13" s="256" t="s">
        <v>279</v>
      </c>
      <c r="B13" s="257" t="s">
        <v>280</v>
      </c>
      <c r="C13" s="256" t="s">
        <v>153</v>
      </c>
      <c r="D13" s="256">
        <v>240</v>
      </c>
      <c r="E13" s="260">
        <v>3097</v>
      </c>
      <c r="F13" s="260">
        <f t="shared" si="0"/>
        <v>743280</v>
      </c>
    </row>
    <row r="14" spans="1:6" x14ac:dyDescent="0.25">
      <c r="A14" s="256" t="s">
        <v>281</v>
      </c>
      <c r="B14" s="257" t="s">
        <v>282</v>
      </c>
      <c r="C14" s="256" t="s">
        <v>153</v>
      </c>
      <c r="D14" s="256">
        <v>61</v>
      </c>
      <c r="E14" s="260">
        <v>7473</v>
      </c>
      <c r="F14" s="260">
        <f t="shared" si="0"/>
        <v>455853</v>
      </c>
    </row>
    <row r="15" spans="1:6" x14ac:dyDescent="0.25">
      <c r="A15" s="256" t="s">
        <v>283</v>
      </c>
      <c r="B15" s="257" t="s">
        <v>284</v>
      </c>
      <c r="C15" s="256" t="s">
        <v>4</v>
      </c>
      <c r="D15" s="256">
        <v>38</v>
      </c>
      <c r="E15" s="260">
        <v>8904</v>
      </c>
      <c r="F15" s="260">
        <f t="shared" si="0"/>
        <v>338352</v>
      </c>
    </row>
    <row r="16" spans="1:6" x14ac:dyDescent="0.25">
      <c r="A16" s="256" t="s">
        <v>285</v>
      </c>
      <c r="B16" s="257" t="s">
        <v>286</v>
      </c>
      <c r="C16" s="256" t="s">
        <v>4</v>
      </c>
      <c r="D16" s="256">
        <v>5</v>
      </c>
      <c r="E16" s="260">
        <v>135528</v>
      </c>
      <c r="F16" s="260">
        <f t="shared" si="0"/>
        <v>677640</v>
      </c>
    </row>
    <row r="17" spans="1:6" x14ac:dyDescent="0.25">
      <c r="A17" s="256" t="s">
        <v>287</v>
      </c>
      <c r="B17" s="257" t="s">
        <v>288</v>
      </c>
      <c r="C17" s="256" t="s">
        <v>153</v>
      </c>
      <c r="D17" s="256">
        <v>242</v>
      </c>
      <c r="E17" s="260">
        <v>5521</v>
      </c>
      <c r="F17" s="260">
        <f t="shared" si="0"/>
        <v>1336082</v>
      </c>
    </row>
    <row r="18" spans="1:6" x14ac:dyDescent="0.25">
      <c r="A18" s="256" t="s">
        <v>289</v>
      </c>
      <c r="B18" s="257" t="s">
        <v>290</v>
      </c>
      <c r="C18" s="256" t="s">
        <v>291</v>
      </c>
      <c r="D18" s="256">
        <v>1</v>
      </c>
      <c r="E18" s="260">
        <v>172500</v>
      </c>
      <c r="F18" s="260">
        <f t="shared" si="0"/>
        <v>172500</v>
      </c>
    </row>
    <row r="19" spans="1:6" x14ac:dyDescent="0.25">
      <c r="A19" s="258"/>
      <c r="B19" s="255" t="s">
        <v>292</v>
      </c>
      <c r="C19" s="258"/>
      <c r="D19" s="258"/>
      <c r="E19" s="261"/>
      <c r="F19" s="262">
        <f>SUM(F4:F18)</f>
        <v>34917227</v>
      </c>
    </row>
    <row r="20" spans="1:6" x14ac:dyDescent="0.25">
      <c r="A20" s="254">
        <v>2</v>
      </c>
      <c r="B20" s="259" t="s">
        <v>293</v>
      </c>
      <c r="C20" s="255"/>
      <c r="D20" s="255"/>
      <c r="E20" s="263"/>
      <c r="F20" s="263"/>
    </row>
    <row r="21" spans="1:6" ht="51" x14ac:dyDescent="0.25">
      <c r="A21" s="256" t="s">
        <v>294</v>
      </c>
      <c r="B21" s="257" t="s">
        <v>295</v>
      </c>
      <c r="C21" s="256" t="s">
        <v>56</v>
      </c>
      <c r="D21" s="256">
        <v>200</v>
      </c>
      <c r="E21" s="260">
        <v>12983</v>
      </c>
      <c r="F21" s="260">
        <f t="shared" ref="F21:F25" si="1">+ROUND(D21*E21,0)</f>
        <v>2596600</v>
      </c>
    </row>
    <row r="22" spans="1:6" ht="25.5" x14ac:dyDescent="0.25">
      <c r="A22" s="256" t="s">
        <v>296</v>
      </c>
      <c r="B22" s="257" t="s">
        <v>297</v>
      </c>
      <c r="C22" s="256" t="s">
        <v>257</v>
      </c>
      <c r="D22" s="256">
        <v>1</v>
      </c>
      <c r="E22" s="260">
        <v>86554</v>
      </c>
      <c r="F22" s="260">
        <f t="shared" si="1"/>
        <v>86554</v>
      </c>
    </row>
    <row r="23" spans="1:6" x14ac:dyDescent="0.25">
      <c r="A23" s="256" t="s">
        <v>298</v>
      </c>
      <c r="B23" s="257" t="s">
        <v>299</v>
      </c>
      <c r="C23" s="256" t="s">
        <v>257</v>
      </c>
      <c r="D23" s="256">
        <v>1</v>
      </c>
      <c r="E23" s="260">
        <v>43277</v>
      </c>
      <c r="F23" s="260">
        <f t="shared" si="1"/>
        <v>43277</v>
      </c>
    </row>
    <row r="24" spans="1:6" ht="25.5" x14ac:dyDescent="0.25">
      <c r="A24" s="256" t="s">
        <v>300</v>
      </c>
      <c r="B24" s="257" t="s">
        <v>301</v>
      </c>
      <c r="C24" s="256" t="s">
        <v>257</v>
      </c>
      <c r="D24" s="256">
        <v>5</v>
      </c>
      <c r="E24" s="260">
        <v>35674</v>
      </c>
      <c r="F24" s="260">
        <f t="shared" si="1"/>
        <v>178370</v>
      </c>
    </row>
    <row r="25" spans="1:6" x14ac:dyDescent="0.25">
      <c r="A25" s="256" t="s">
        <v>302</v>
      </c>
      <c r="B25" s="257" t="s">
        <v>303</v>
      </c>
      <c r="C25" s="256" t="s">
        <v>291</v>
      </c>
      <c r="D25" s="256">
        <v>1</v>
      </c>
      <c r="E25" s="260">
        <v>115000</v>
      </c>
      <c r="F25" s="260">
        <f t="shared" si="1"/>
        <v>115000</v>
      </c>
    </row>
    <row r="26" spans="1:6" x14ac:dyDescent="0.25">
      <c r="A26" s="259"/>
      <c r="B26" s="255" t="s">
        <v>292</v>
      </c>
      <c r="C26" s="258"/>
      <c r="D26" s="258"/>
      <c r="E26" s="262"/>
      <c r="F26" s="262">
        <f>SUM(F21:F25)</f>
        <v>3019801</v>
      </c>
    </row>
    <row r="27" spans="1:6" ht="15.75" customHeight="1" x14ac:dyDescent="0.25">
      <c r="A27" s="254">
        <v>3</v>
      </c>
      <c r="B27" s="259" t="s">
        <v>304</v>
      </c>
      <c r="C27" s="255"/>
      <c r="D27" s="255"/>
      <c r="E27" s="263"/>
      <c r="F27" s="263"/>
    </row>
    <row r="28" spans="1:6" ht="25.5" x14ac:dyDescent="0.25">
      <c r="A28" s="256" t="s">
        <v>305</v>
      </c>
      <c r="B28" s="257" t="s">
        <v>262</v>
      </c>
      <c r="C28" s="256" t="s">
        <v>56</v>
      </c>
      <c r="D28" s="256">
        <v>605</v>
      </c>
      <c r="E28" s="260">
        <v>3459</v>
      </c>
      <c r="F28" s="260">
        <f t="shared" ref="F28:F38" si="2">+ROUND(D28*E28,0)</f>
        <v>2092695</v>
      </c>
    </row>
    <row r="29" spans="1:6" ht="51" x14ac:dyDescent="0.25">
      <c r="A29" s="256" t="s">
        <v>306</v>
      </c>
      <c r="B29" s="257" t="s">
        <v>264</v>
      </c>
      <c r="C29" s="256" t="s">
        <v>56</v>
      </c>
      <c r="D29" s="256">
        <v>605</v>
      </c>
      <c r="E29" s="260">
        <v>6050</v>
      </c>
      <c r="F29" s="260">
        <f t="shared" si="2"/>
        <v>3660250</v>
      </c>
    </row>
    <row r="30" spans="1:6" ht="38.25" x14ac:dyDescent="0.25">
      <c r="A30" s="256" t="s">
        <v>307</v>
      </c>
      <c r="B30" s="257" t="s">
        <v>268</v>
      </c>
      <c r="C30" s="256" t="s">
        <v>56</v>
      </c>
      <c r="D30" s="256">
        <v>112</v>
      </c>
      <c r="E30" s="260">
        <v>5894</v>
      </c>
      <c r="F30" s="260">
        <f t="shared" si="2"/>
        <v>660128</v>
      </c>
    </row>
    <row r="31" spans="1:6" ht="25.5" x14ac:dyDescent="0.25">
      <c r="A31" s="256" t="s">
        <v>308</v>
      </c>
      <c r="B31" s="257" t="s">
        <v>309</v>
      </c>
      <c r="C31" s="256" t="s">
        <v>257</v>
      </c>
      <c r="D31" s="256">
        <v>7</v>
      </c>
      <c r="E31" s="260">
        <v>55630</v>
      </c>
      <c r="F31" s="260">
        <f t="shared" si="2"/>
        <v>389410</v>
      </c>
    </row>
    <row r="32" spans="1:6" ht="25.5" x14ac:dyDescent="0.25">
      <c r="A32" s="256" t="s">
        <v>310</v>
      </c>
      <c r="B32" s="257" t="s">
        <v>272</v>
      </c>
      <c r="C32" s="256" t="s">
        <v>257</v>
      </c>
      <c r="D32" s="256">
        <v>22</v>
      </c>
      <c r="E32" s="260">
        <v>35674</v>
      </c>
      <c r="F32" s="260">
        <f t="shared" si="2"/>
        <v>784828</v>
      </c>
    </row>
    <row r="33" spans="1:6" x14ac:dyDescent="0.25">
      <c r="A33" s="256" t="s">
        <v>311</v>
      </c>
      <c r="B33" s="257" t="s">
        <v>274</v>
      </c>
      <c r="C33" s="256" t="s">
        <v>153</v>
      </c>
      <c r="D33" s="256">
        <v>126</v>
      </c>
      <c r="E33" s="260">
        <v>4265</v>
      </c>
      <c r="F33" s="260">
        <f t="shared" si="2"/>
        <v>537390</v>
      </c>
    </row>
    <row r="34" spans="1:6" x14ac:dyDescent="0.25">
      <c r="A34" s="256" t="s">
        <v>312</v>
      </c>
      <c r="B34" s="257" t="s">
        <v>313</v>
      </c>
      <c r="C34" s="256" t="s">
        <v>257</v>
      </c>
      <c r="D34" s="256">
        <v>22</v>
      </c>
      <c r="E34" s="260">
        <v>32942</v>
      </c>
      <c r="F34" s="260">
        <f t="shared" si="2"/>
        <v>724724</v>
      </c>
    </row>
    <row r="35" spans="1:6" ht="25.5" x14ac:dyDescent="0.25">
      <c r="A35" s="256" t="s">
        <v>314</v>
      </c>
      <c r="B35" s="257" t="s">
        <v>278</v>
      </c>
      <c r="C35" s="256" t="s">
        <v>257</v>
      </c>
      <c r="D35" s="256">
        <v>1</v>
      </c>
      <c r="E35" s="260">
        <v>135528</v>
      </c>
      <c r="F35" s="260">
        <f t="shared" si="2"/>
        <v>135528</v>
      </c>
    </row>
    <row r="36" spans="1:6" ht="38.25" x14ac:dyDescent="0.25">
      <c r="A36" s="256" t="s">
        <v>315</v>
      </c>
      <c r="B36" s="257" t="s">
        <v>316</v>
      </c>
      <c r="C36" s="256" t="s">
        <v>291</v>
      </c>
      <c r="D36" s="256">
        <v>1</v>
      </c>
      <c r="E36" s="260">
        <v>402500</v>
      </c>
      <c r="F36" s="260">
        <f t="shared" si="2"/>
        <v>402500</v>
      </c>
    </row>
    <row r="37" spans="1:6" ht="25.5" x14ac:dyDescent="0.25">
      <c r="A37" s="256" t="s">
        <v>317</v>
      </c>
      <c r="B37" s="257" t="s">
        <v>280</v>
      </c>
      <c r="C37" s="256" t="s">
        <v>153</v>
      </c>
      <c r="D37" s="256">
        <v>70</v>
      </c>
      <c r="E37" s="260">
        <v>3097</v>
      </c>
      <c r="F37" s="260">
        <f t="shared" si="2"/>
        <v>216790</v>
      </c>
    </row>
    <row r="38" spans="1:6" x14ac:dyDescent="0.25">
      <c r="A38" s="256" t="s">
        <v>318</v>
      </c>
      <c r="B38" s="257" t="s">
        <v>303</v>
      </c>
      <c r="C38" s="256" t="s">
        <v>291</v>
      </c>
      <c r="D38" s="256">
        <v>1</v>
      </c>
      <c r="E38" s="260">
        <v>115000</v>
      </c>
      <c r="F38" s="260">
        <f t="shared" si="2"/>
        <v>115000</v>
      </c>
    </row>
    <row r="39" spans="1:6" x14ac:dyDescent="0.25">
      <c r="A39" s="259"/>
      <c r="B39" s="255" t="s">
        <v>292</v>
      </c>
      <c r="C39" s="259"/>
      <c r="D39" s="259"/>
      <c r="E39" s="262"/>
      <c r="F39" s="262">
        <f>SUM(F28:F38)</f>
        <v>9719243</v>
      </c>
    </row>
    <row r="40" spans="1:6" x14ac:dyDescent="0.25">
      <c r="A40" s="254">
        <v>4</v>
      </c>
      <c r="B40" s="259" t="s">
        <v>319</v>
      </c>
      <c r="C40" s="255"/>
      <c r="D40" s="255"/>
      <c r="E40" s="263"/>
      <c r="F40" s="263"/>
    </row>
    <row r="41" spans="1:6" ht="25.5" x14ac:dyDescent="0.25">
      <c r="A41" s="256" t="s">
        <v>320</v>
      </c>
      <c r="B41" s="257" t="s">
        <v>262</v>
      </c>
      <c r="C41" s="256" t="s">
        <v>56</v>
      </c>
      <c r="D41" s="256">
        <v>93</v>
      </c>
      <c r="E41" s="260">
        <v>3459</v>
      </c>
      <c r="F41" s="260">
        <f t="shared" ref="F41:F49" si="3">+ROUND(D41*E41,0)</f>
        <v>321687</v>
      </c>
    </row>
    <row r="42" spans="1:6" ht="38.25" x14ac:dyDescent="0.25">
      <c r="A42" s="256" t="s">
        <v>321</v>
      </c>
      <c r="B42" s="257" t="s">
        <v>322</v>
      </c>
      <c r="C42" s="256" t="s">
        <v>56</v>
      </c>
      <c r="D42" s="256">
        <v>93</v>
      </c>
      <c r="E42" s="260">
        <v>8542</v>
      </c>
      <c r="F42" s="260">
        <f t="shared" si="3"/>
        <v>794406</v>
      </c>
    </row>
    <row r="43" spans="1:6" ht="25.5" x14ac:dyDescent="0.25">
      <c r="A43" s="256" t="s">
        <v>323</v>
      </c>
      <c r="B43" s="257" t="s">
        <v>324</v>
      </c>
      <c r="C43" s="256" t="s">
        <v>257</v>
      </c>
      <c r="D43" s="256">
        <v>4</v>
      </c>
      <c r="E43" s="260">
        <v>55630</v>
      </c>
      <c r="F43" s="260">
        <f t="shared" si="3"/>
        <v>222520</v>
      </c>
    </row>
    <row r="44" spans="1:6" ht="38.25" x14ac:dyDescent="0.25">
      <c r="A44" s="256" t="s">
        <v>325</v>
      </c>
      <c r="B44" s="257" t="s">
        <v>316</v>
      </c>
      <c r="C44" s="256" t="s">
        <v>291</v>
      </c>
      <c r="D44" s="256">
        <v>1</v>
      </c>
      <c r="E44" s="260">
        <v>172500</v>
      </c>
      <c r="F44" s="260">
        <f t="shared" si="3"/>
        <v>172500</v>
      </c>
    </row>
    <row r="45" spans="1:6" ht="25.5" x14ac:dyDescent="0.25">
      <c r="A45" s="256" t="s">
        <v>326</v>
      </c>
      <c r="B45" s="257" t="s">
        <v>280</v>
      </c>
      <c r="C45" s="256" t="s">
        <v>153</v>
      </c>
      <c r="D45" s="256">
        <v>120</v>
      </c>
      <c r="E45" s="260">
        <v>3097</v>
      </c>
      <c r="F45" s="260">
        <f t="shared" si="3"/>
        <v>371640</v>
      </c>
    </row>
    <row r="46" spans="1:6" x14ac:dyDescent="0.25">
      <c r="A46" s="256" t="s">
        <v>327</v>
      </c>
      <c r="B46" s="257" t="s">
        <v>328</v>
      </c>
      <c r="C46" s="256" t="s">
        <v>153</v>
      </c>
      <c r="D46" s="256">
        <v>28</v>
      </c>
      <c r="E46" s="260">
        <v>4265</v>
      </c>
      <c r="F46" s="260">
        <f t="shared" si="3"/>
        <v>119420</v>
      </c>
    </row>
    <row r="47" spans="1:6" x14ac:dyDescent="0.25">
      <c r="A47" s="256" t="s">
        <v>329</v>
      </c>
      <c r="B47" s="257" t="s">
        <v>330</v>
      </c>
      <c r="C47" s="256" t="s">
        <v>2</v>
      </c>
      <c r="D47" s="256">
        <v>2</v>
      </c>
      <c r="E47" s="260">
        <v>69000</v>
      </c>
      <c r="F47" s="260">
        <f t="shared" si="3"/>
        <v>138000</v>
      </c>
    </row>
    <row r="48" spans="1:6" x14ac:dyDescent="0.25">
      <c r="A48" s="256" t="s">
        <v>331</v>
      </c>
      <c r="B48" s="257" t="s">
        <v>332</v>
      </c>
      <c r="C48" s="256" t="s">
        <v>2</v>
      </c>
      <c r="D48" s="256">
        <v>3</v>
      </c>
      <c r="E48" s="260">
        <v>34500</v>
      </c>
      <c r="F48" s="260">
        <f t="shared" si="3"/>
        <v>103500</v>
      </c>
    </row>
    <row r="49" spans="1:6" x14ac:dyDescent="0.25">
      <c r="A49" s="256" t="s">
        <v>333</v>
      </c>
      <c r="B49" s="257" t="s">
        <v>303</v>
      </c>
      <c r="C49" s="256" t="s">
        <v>291</v>
      </c>
      <c r="D49" s="256">
        <v>1</v>
      </c>
      <c r="E49" s="260">
        <v>57500</v>
      </c>
      <c r="F49" s="260">
        <f t="shared" si="3"/>
        <v>57500</v>
      </c>
    </row>
    <row r="50" spans="1:6" x14ac:dyDescent="0.25">
      <c r="A50" s="259"/>
      <c r="B50" s="255" t="s">
        <v>292</v>
      </c>
      <c r="C50" s="259"/>
      <c r="D50" s="259"/>
      <c r="E50" s="262"/>
      <c r="F50" s="262">
        <f>SUM(F41:F49)</f>
        <v>2301173</v>
      </c>
    </row>
    <row r="51" spans="1:6" x14ac:dyDescent="0.25">
      <c r="A51" s="254">
        <v>5</v>
      </c>
      <c r="B51" s="259" t="s">
        <v>334</v>
      </c>
      <c r="C51" s="255"/>
      <c r="D51" s="255"/>
      <c r="E51" s="263"/>
      <c r="F51" s="263"/>
    </row>
    <row r="52" spans="1:6" ht="51" x14ac:dyDescent="0.25">
      <c r="A52" s="256" t="s">
        <v>335</v>
      </c>
      <c r="B52" s="257" t="s">
        <v>264</v>
      </c>
      <c r="C52" s="256" t="s">
        <v>56</v>
      </c>
      <c r="D52" s="256">
        <v>106</v>
      </c>
      <c r="E52" s="260">
        <v>6050</v>
      </c>
      <c r="F52" s="260">
        <f t="shared" ref="F52:F59" si="4">+ROUND(D52*E52,0)</f>
        <v>641300</v>
      </c>
    </row>
    <row r="53" spans="1:6" ht="38.25" x14ac:dyDescent="0.25">
      <c r="A53" s="256" t="s">
        <v>336</v>
      </c>
      <c r="B53" s="257" t="s">
        <v>337</v>
      </c>
      <c r="C53" s="256" t="s">
        <v>56</v>
      </c>
      <c r="D53" s="256">
        <v>359</v>
      </c>
      <c r="E53" s="260">
        <v>9991</v>
      </c>
      <c r="F53" s="260">
        <f t="shared" si="4"/>
        <v>3586769</v>
      </c>
    </row>
    <row r="54" spans="1:6" ht="25.5" x14ac:dyDescent="0.25">
      <c r="A54" s="256" t="s">
        <v>338</v>
      </c>
      <c r="B54" s="257" t="s">
        <v>270</v>
      </c>
      <c r="C54" s="256" t="s">
        <v>257</v>
      </c>
      <c r="D54" s="256">
        <v>2</v>
      </c>
      <c r="E54" s="260">
        <v>55630</v>
      </c>
      <c r="F54" s="260">
        <f t="shared" si="4"/>
        <v>111260</v>
      </c>
    </row>
    <row r="55" spans="1:6" ht="25.5" x14ac:dyDescent="0.25">
      <c r="A55" s="256" t="s">
        <v>339</v>
      </c>
      <c r="B55" s="257" t="s">
        <v>272</v>
      </c>
      <c r="C55" s="256" t="s">
        <v>257</v>
      </c>
      <c r="D55" s="256">
        <v>10</v>
      </c>
      <c r="E55" s="260">
        <v>35674</v>
      </c>
      <c r="F55" s="260">
        <f t="shared" si="4"/>
        <v>356740</v>
      </c>
    </row>
    <row r="56" spans="1:6" x14ac:dyDescent="0.25">
      <c r="A56" s="256" t="s">
        <v>340</v>
      </c>
      <c r="B56" s="257" t="s">
        <v>274</v>
      </c>
      <c r="C56" s="256" t="s">
        <v>153</v>
      </c>
      <c r="D56" s="256">
        <v>71</v>
      </c>
      <c r="E56" s="260">
        <v>4265</v>
      </c>
      <c r="F56" s="260">
        <f t="shared" si="4"/>
        <v>302815</v>
      </c>
    </row>
    <row r="57" spans="1:6" ht="25.5" x14ac:dyDescent="0.25">
      <c r="A57" s="256" t="s">
        <v>341</v>
      </c>
      <c r="B57" s="257" t="s">
        <v>342</v>
      </c>
      <c r="C57" s="256" t="s">
        <v>257</v>
      </c>
      <c r="D57" s="256">
        <v>1</v>
      </c>
      <c r="E57" s="260">
        <v>144000</v>
      </c>
      <c r="F57" s="260">
        <f t="shared" si="4"/>
        <v>144000</v>
      </c>
    </row>
    <row r="58" spans="1:6" x14ac:dyDescent="0.25">
      <c r="A58" s="256" t="s">
        <v>343</v>
      </c>
      <c r="B58" s="257" t="s">
        <v>288</v>
      </c>
      <c r="C58" s="256" t="s">
        <v>153</v>
      </c>
      <c r="D58" s="256">
        <v>25</v>
      </c>
      <c r="E58" s="260">
        <v>5521</v>
      </c>
      <c r="F58" s="260">
        <f t="shared" si="4"/>
        <v>138025</v>
      </c>
    </row>
    <row r="59" spans="1:6" x14ac:dyDescent="0.25">
      <c r="A59" s="256" t="s">
        <v>344</v>
      </c>
      <c r="B59" s="257" t="s">
        <v>290</v>
      </c>
      <c r="C59" s="256" t="s">
        <v>291</v>
      </c>
      <c r="D59" s="256">
        <v>1</v>
      </c>
      <c r="E59" s="260">
        <v>120000</v>
      </c>
      <c r="F59" s="260">
        <f t="shared" si="4"/>
        <v>120000</v>
      </c>
    </row>
    <row r="60" spans="1:6" x14ac:dyDescent="0.25">
      <c r="A60" s="258"/>
      <c r="B60" s="255" t="s">
        <v>292</v>
      </c>
      <c r="C60" s="258"/>
      <c r="D60" s="258"/>
      <c r="E60" s="262"/>
      <c r="F60" s="262">
        <f>SUM(F52:F59)</f>
        <v>5400909</v>
      </c>
    </row>
    <row r="61" spans="1:6" x14ac:dyDescent="0.25">
      <c r="A61" s="254">
        <v>6</v>
      </c>
      <c r="B61" s="259" t="s">
        <v>345</v>
      </c>
      <c r="C61" s="255"/>
      <c r="D61" s="255"/>
      <c r="E61" s="263"/>
      <c r="F61" s="263"/>
    </row>
    <row r="62" spans="1:6" ht="25.5" x14ac:dyDescent="0.25">
      <c r="A62" s="256" t="s">
        <v>346</v>
      </c>
      <c r="B62" s="257" t="s">
        <v>262</v>
      </c>
      <c r="C62" s="256" t="s">
        <v>56</v>
      </c>
      <c r="D62" s="256">
        <v>1275</v>
      </c>
      <c r="E62" s="260">
        <v>3459</v>
      </c>
      <c r="F62" s="260">
        <f t="shared" ref="F62:F72" si="5">+ROUND(D62*E62,0)</f>
        <v>4410225</v>
      </c>
    </row>
    <row r="63" spans="1:6" ht="51" x14ac:dyDescent="0.25">
      <c r="A63" s="256" t="s">
        <v>347</v>
      </c>
      <c r="B63" s="257" t="s">
        <v>348</v>
      </c>
      <c r="C63" s="256" t="s">
        <v>56</v>
      </c>
      <c r="D63" s="256">
        <v>1275</v>
      </c>
      <c r="E63" s="260">
        <v>6050</v>
      </c>
      <c r="F63" s="260">
        <f t="shared" si="5"/>
        <v>7713750</v>
      </c>
    </row>
    <row r="64" spans="1:6" ht="38.25" x14ac:dyDescent="0.25">
      <c r="A64" s="256" t="s">
        <v>349</v>
      </c>
      <c r="B64" s="257" t="s">
        <v>268</v>
      </c>
      <c r="C64" s="256" t="s">
        <v>56</v>
      </c>
      <c r="D64" s="256">
        <v>203</v>
      </c>
      <c r="E64" s="260">
        <v>5894</v>
      </c>
      <c r="F64" s="260">
        <f t="shared" si="5"/>
        <v>1196482</v>
      </c>
    </row>
    <row r="65" spans="1:6" ht="25.5" x14ac:dyDescent="0.25">
      <c r="A65" s="256" t="s">
        <v>350</v>
      </c>
      <c r="B65" s="257" t="s">
        <v>351</v>
      </c>
      <c r="C65" s="256" t="s">
        <v>56</v>
      </c>
      <c r="D65" s="256">
        <v>10</v>
      </c>
      <c r="E65" s="260">
        <v>23647</v>
      </c>
      <c r="F65" s="260">
        <f t="shared" si="5"/>
        <v>236470</v>
      </c>
    </row>
    <row r="66" spans="1:6" ht="25.5" x14ac:dyDescent="0.25">
      <c r="A66" s="256" t="s">
        <v>352</v>
      </c>
      <c r="B66" s="257" t="s">
        <v>324</v>
      </c>
      <c r="C66" s="256" t="s">
        <v>257</v>
      </c>
      <c r="D66" s="256">
        <v>6</v>
      </c>
      <c r="E66" s="260">
        <v>55630</v>
      </c>
      <c r="F66" s="260">
        <f t="shared" si="5"/>
        <v>333780</v>
      </c>
    </row>
    <row r="67" spans="1:6" ht="38.25" x14ac:dyDescent="0.25">
      <c r="A67" s="256" t="s">
        <v>353</v>
      </c>
      <c r="B67" s="257" t="s">
        <v>354</v>
      </c>
      <c r="C67" s="256" t="s">
        <v>257</v>
      </c>
      <c r="D67" s="256">
        <v>58</v>
      </c>
      <c r="E67" s="260">
        <v>33674</v>
      </c>
      <c r="F67" s="260">
        <f t="shared" si="5"/>
        <v>1953092</v>
      </c>
    </row>
    <row r="68" spans="1:6" ht="25.5" x14ac:dyDescent="0.25">
      <c r="A68" s="256" t="s">
        <v>355</v>
      </c>
      <c r="B68" s="257" t="s">
        <v>278</v>
      </c>
      <c r="C68" s="256" t="s">
        <v>257</v>
      </c>
      <c r="D68" s="256">
        <v>1</v>
      </c>
      <c r="E68" s="260">
        <v>135528</v>
      </c>
      <c r="F68" s="260">
        <f t="shared" si="5"/>
        <v>135528</v>
      </c>
    </row>
    <row r="69" spans="1:6" ht="38.25" x14ac:dyDescent="0.25">
      <c r="A69" s="256" t="s">
        <v>356</v>
      </c>
      <c r="B69" s="257" t="s">
        <v>316</v>
      </c>
      <c r="C69" s="256" t="s">
        <v>291</v>
      </c>
      <c r="D69" s="256">
        <v>1</v>
      </c>
      <c r="E69" s="260">
        <v>420000</v>
      </c>
      <c r="F69" s="260">
        <f t="shared" si="5"/>
        <v>420000</v>
      </c>
    </row>
    <row r="70" spans="1:6" ht="25.5" x14ac:dyDescent="0.25">
      <c r="A70" s="256" t="s">
        <v>357</v>
      </c>
      <c r="B70" s="257" t="s">
        <v>280</v>
      </c>
      <c r="C70" s="256" t="s">
        <v>153</v>
      </c>
      <c r="D70" s="256">
        <v>140</v>
      </c>
      <c r="E70" s="260">
        <v>3097</v>
      </c>
      <c r="F70" s="260">
        <f t="shared" si="5"/>
        <v>433580</v>
      </c>
    </row>
    <row r="71" spans="1:6" x14ac:dyDescent="0.25">
      <c r="A71" s="256" t="s">
        <v>358</v>
      </c>
      <c r="B71" s="257" t="s">
        <v>359</v>
      </c>
      <c r="C71" s="256" t="s">
        <v>153</v>
      </c>
      <c r="D71" s="256">
        <v>220</v>
      </c>
      <c r="E71" s="260">
        <v>4265</v>
      </c>
      <c r="F71" s="260">
        <f t="shared" si="5"/>
        <v>938300</v>
      </c>
    </row>
    <row r="72" spans="1:6" x14ac:dyDescent="0.25">
      <c r="A72" s="256" t="s">
        <v>360</v>
      </c>
      <c r="B72" s="257" t="s">
        <v>303</v>
      </c>
      <c r="C72" s="256" t="s">
        <v>291</v>
      </c>
      <c r="D72" s="256">
        <v>1</v>
      </c>
      <c r="E72" s="260">
        <v>120000</v>
      </c>
      <c r="F72" s="260">
        <f t="shared" si="5"/>
        <v>120000</v>
      </c>
    </row>
    <row r="73" spans="1:6" x14ac:dyDescent="0.25">
      <c r="A73" s="259"/>
      <c r="B73" s="255" t="s">
        <v>292</v>
      </c>
      <c r="C73" s="258"/>
      <c r="D73" s="258"/>
      <c r="E73" s="262"/>
      <c r="F73" s="262">
        <f>SUM(F62:F72)</f>
        <v>17891207</v>
      </c>
    </row>
    <row r="74" spans="1:6" ht="15.75" customHeight="1" x14ac:dyDescent="0.25">
      <c r="A74" s="254">
        <v>7</v>
      </c>
      <c r="B74" s="259" t="s">
        <v>361</v>
      </c>
      <c r="C74" s="255"/>
      <c r="D74" s="255"/>
      <c r="E74" s="263"/>
      <c r="F74" s="263"/>
    </row>
    <row r="75" spans="1:6" ht="25.5" x14ac:dyDescent="0.25">
      <c r="A75" s="256" t="s">
        <v>362</v>
      </c>
      <c r="B75" s="257" t="s">
        <v>262</v>
      </c>
      <c r="C75" s="256" t="s">
        <v>56</v>
      </c>
      <c r="D75" s="256">
        <v>615</v>
      </c>
      <c r="E75" s="260">
        <v>3459</v>
      </c>
      <c r="F75" s="260">
        <f t="shared" ref="F75:F83" si="6">+ROUND(D75*E75,0)</f>
        <v>2127285</v>
      </c>
    </row>
    <row r="76" spans="1:6" ht="51" x14ac:dyDescent="0.25">
      <c r="A76" s="256" t="s">
        <v>363</v>
      </c>
      <c r="B76" s="257" t="s">
        <v>348</v>
      </c>
      <c r="C76" s="256" t="s">
        <v>56</v>
      </c>
      <c r="D76" s="256">
        <v>615</v>
      </c>
      <c r="E76" s="260">
        <v>6050</v>
      </c>
      <c r="F76" s="260">
        <f t="shared" si="6"/>
        <v>3720750</v>
      </c>
    </row>
    <row r="77" spans="1:6" ht="38.25" x14ac:dyDescent="0.25">
      <c r="A77" s="256" t="s">
        <v>364</v>
      </c>
      <c r="B77" s="257" t="s">
        <v>365</v>
      </c>
      <c r="C77" s="256" t="s">
        <v>56</v>
      </c>
      <c r="D77" s="256">
        <v>145</v>
      </c>
      <c r="E77" s="260">
        <v>10067</v>
      </c>
      <c r="F77" s="260">
        <f t="shared" si="6"/>
        <v>1459715</v>
      </c>
    </row>
    <row r="78" spans="1:6" ht="25.5" x14ac:dyDescent="0.25">
      <c r="A78" s="256" t="s">
        <v>366</v>
      </c>
      <c r="B78" s="257" t="s">
        <v>367</v>
      </c>
      <c r="C78" s="256" t="s">
        <v>257</v>
      </c>
      <c r="D78" s="256">
        <v>2</v>
      </c>
      <c r="E78" s="260">
        <v>55630</v>
      </c>
      <c r="F78" s="260">
        <f t="shared" si="6"/>
        <v>111260</v>
      </c>
    </row>
    <row r="79" spans="1:6" ht="25.5" x14ac:dyDescent="0.25">
      <c r="A79" s="256" t="s">
        <v>368</v>
      </c>
      <c r="B79" s="257" t="s">
        <v>369</v>
      </c>
      <c r="C79" s="256" t="s">
        <v>257</v>
      </c>
      <c r="D79" s="256">
        <v>16</v>
      </c>
      <c r="E79" s="260">
        <v>35674</v>
      </c>
      <c r="F79" s="260">
        <f t="shared" si="6"/>
        <v>570784</v>
      </c>
    </row>
    <row r="80" spans="1:6" ht="38.25" x14ac:dyDescent="0.25">
      <c r="A80" s="256" t="s">
        <v>370</v>
      </c>
      <c r="B80" s="257" t="s">
        <v>316</v>
      </c>
      <c r="C80" s="256" t="s">
        <v>291</v>
      </c>
      <c r="D80" s="256">
        <v>1</v>
      </c>
      <c r="E80" s="260">
        <v>402500</v>
      </c>
      <c r="F80" s="260">
        <f t="shared" si="6"/>
        <v>402500</v>
      </c>
    </row>
    <row r="81" spans="1:6" ht="25.5" x14ac:dyDescent="0.25">
      <c r="A81" s="256" t="s">
        <v>371</v>
      </c>
      <c r="B81" s="257" t="s">
        <v>280</v>
      </c>
      <c r="C81" s="256" t="s">
        <v>153</v>
      </c>
      <c r="D81" s="256">
        <v>104</v>
      </c>
      <c r="E81" s="260">
        <v>3097</v>
      </c>
      <c r="F81" s="260">
        <f t="shared" si="6"/>
        <v>322088</v>
      </c>
    </row>
    <row r="82" spans="1:6" x14ac:dyDescent="0.25">
      <c r="A82" s="256" t="s">
        <v>372</v>
      </c>
      <c r="B82" s="257" t="s">
        <v>373</v>
      </c>
      <c r="C82" s="256" t="s">
        <v>153</v>
      </c>
      <c r="D82" s="256">
        <v>123</v>
      </c>
      <c r="E82" s="260">
        <v>4265</v>
      </c>
      <c r="F82" s="260">
        <f t="shared" si="6"/>
        <v>524595</v>
      </c>
    </row>
    <row r="83" spans="1:6" x14ac:dyDescent="0.25">
      <c r="A83" s="256" t="s">
        <v>374</v>
      </c>
      <c r="B83" s="257" t="s">
        <v>303</v>
      </c>
      <c r="C83" s="256" t="s">
        <v>291</v>
      </c>
      <c r="D83" s="256">
        <v>1</v>
      </c>
      <c r="E83" s="260">
        <v>115000</v>
      </c>
      <c r="F83" s="260">
        <f t="shared" si="6"/>
        <v>115000</v>
      </c>
    </row>
    <row r="84" spans="1:6" x14ac:dyDescent="0.25">
      <c r="A84" s="258"/>
      <c r="B84" s="255" t="s">
        <v>292</v>
      </c>
      <c r="C84" s="258"/>
      <c r="D84" s="258"/>
      <c r="E84" s="262"/>
      <c r="F84" s="262">
        <f>SUM(F75:F83)</f>
        <v>9353977</v>
      </c>
    </row>
    <row r="85" spans="1:6" x14ac:dyDescent="0.25">
      <c r="A85" s="254">
        <v>8</v>
      </c>
      <c r="B85" s="259" t="s">
        <v>375</v>
      </c>
      <c r="C85" s="255"/>
      <c r="D85" s="255"/>
      <c r="E85" s="263"/>
      <c r="F85" s="263"/>
    </row>
    <row r="86" spans="1:6" ht="25.5" x14ac:dyDescent="0.25">
      <c r="A86" s="256" t="s">
        <v>376</v>
      </c>
      <c r="B86" s="257" t="s">
        <v>262</v>
      </c>
      <c r="C86" s="256" t="s">
        <v>56</v>
      </c>
      <c r="D86" s="256">
        <v>1106</v>
      </c>
      <c r="E86" s="260">
        <v>3459</v>
      </c>
      <c r="F86" s="260">
        <f t="shared" ref="F86:F95" si="7">+ROUND(D86*E86,0)</f>
        <v>3825654</v>
      </c>
    </row>
    <row r="87" spans="1:6" ht="51" x14ac:dyDescent="0.25">
      <c r="A87" s="256" t="s">
        <v>377</v>
      </c>
      <c r="B87" s="257" t="s">
        <v>348</v>
      </c>
      <c r="C87" s="256" t="s">
        <v>56</v>
      </c>
      <c r="D87" s="256">
        <v>1106</v>
      </c>
      <c r="E87" s="260">
        <v>6050</v>
      </c>
      <c r="F87" s="260">
        <f t="shared" si="7"/>
        <v>6691300</v>
      </c>
    </row>
    <row r="88" spans="1:6" ht="38.25" x14ac:dyDescent="0.25">
      <c r="A88" s="256" t="s">
        <v>378</v>
      </c>
      <c r="B88" s="257" t="s">
        <v>268</v>
      </c>
      <c r="C88" s="256" t="s">
        <v>56</v>
      </c>
      <c r="D88" s="256">
        <v>170</v>
      </c>
      <c r="E88" s="260">
        <v>5894</v>
      </c>
      <c r="F88" s="260">
        <f t="shared" si="7"/>
        <v>1001980</v>
      </c>
    </row>
    <row r="89" spans="1:6" ht="25.5" x14ac:dyDescent="0.25">
      <c r="A89" s="256" t="s">
        <v>379</v>
      </c>
      <c r="B89" s="257" t="s">
        <v>324</v>
      </c>
      <c r="C89" s="256" t="s">
        <v>257</v>
      </c>
      <c r="D89" s="256">
        <v>15</v>
      </c>
      <c r="E89" s="260">
        <v>55630</v>
      </c>
      <c r="F89" s="260">
        <f t="shared" si="7"/>
        <v>834450</v>
      </c>
    </row>
    <row r="90" spans="1:6" ht="25.5" x14ac:dyDescent="0.25">
      <c r="A90" s="256" t="s">
        <v>380</v>
      </c>
      <c r="B90" s="257" t="s">
        <v>381</v>
      </c>
      <c r="C90" s="256" t="s">
        <v>257</v>
      </c>
      <c r="D90" s="256">
        <v>15</v>
      </c>
      <c r="E90" s="260">
        <v>35674</v>
      </c>
      <c r="F90" s="260">
        <f t="shared" si="7"/>
        <v>535110</v>
      </c>
    </row>
    <row r="91" spans="1:6" ht="38.25" x14ac:dyDescent="0.25">
      <c r="A91" s="256" t="s">
        <v>382</v>
      </c>
      <c r="B91" s="257" t="s">
        <v>316</v>
      </c>
      <c r="C91" s="256" t="s">
        <v>291</v>
      </c>
      <c r="D91" s="256">
        <v>1</v>
      </c>
      <c r="E91" s="260">
        <v>402500</v>
      </c>
      <c r="F91" s="260">
        <f t="shared" si="7"/>
        <v>402500</v>
      </c>
    </row>
    <row r="92" spans="1:6" ht="25.5" x14ac:dyDescent="0.25">
      <c r="A92" s="256" t="s">
        <v>383</v>
      </c>
      <c r="B92" s="257" t="s">
        <v>280</v>
      </c>
      <c r="C92" s="256" t="s">
        <v>153</v>
      </c>
      <c r="D92" s="256">
        <v>120</v>
      </c>
      <c r="E92" s="260">
        <v>3097</v>
      </c>
      <c r="F92" s="260">
        <f t="shared" si="7"/>
        <v>371640</v>
      </c>
    </row>
    <row r="93" spans="1:6" ht="25.5" x14ac:dyDescent="0.25">
      <c r="A93" s="256" t="s">
        <v>384</v>
      </c>
      <c r="B93" s="257" t="s">
        <v>278</v>
      </c>
      <c r="C93" s="256" t="s">
        <v>257</v>
      </c>
      <c r="D93" s="256">
        <v>2</v>
      </c>
      <c r="E93" s="260">
        <v>135528</v>
      </c>
      <c r="F93" s="260">
        <f t="shared" si="7"/>
        <v>271056</v>
      </c>
    </row>
    <row r="94" spans="1:6" x14ac:dyDescent="0.25">
      <c r="A94" s="256" t="s">
        <v>385</v>
      </c>
      <c r="B94" s="257" t="s">
        <v>328</v>
      </c>
      <c r="C94" s="256" t="s">
        <v>153</v>
      </c>
      <c r="D94" s="256">
        <v>182</v>
      </c>
      <c r="E94" s="260">
        <v>4265</v>
      </c>
      <c r="F94" s="260">
        <f t="shared" si="7"/>
        <v>776230</v>
      </c>
    </row>
    <row r="95" spans="1:6" x14ac:dyDescent="0.25">
      <c r="A95" s="256" t="s">
        <v>386</v>
      </c>
      <c r="B95" s="257" t="s">
        <v>303</v>
      </c>
      <c r="C95" s="256" t="s">
        <v>291</v>
      </c>
      <c r="D95" s="256">
        <v>1</v>
      </c>
      <c r="E95" s="260">
        <v>115000</v>
      </c>
      <c r="F95" s="260">
        <f t="shared" si="7"/>
        <v>115000</v>
      </c>
    </row>
    <row r="96" spans="1:6" x14ac:dyDescent="0.25">
      <c r="A96" s="258"/>
      <c r="B96" s="255" t="s">
        <v>292</v>
      </c>
      <c r="C96" s="258"/>
      <c r="D96" s="258"/>
      <c r="E96" s="262"/>
      <c r="F96" s="262">
        <f>SUM(F86:F95)</f>
        <v>14824920</v>
      </c>
    </row>
    <row r="97" spans="1:6" ht="15.75" customHeight="1" x14ac:dyDescent="0.25">
      <c r="A97" s="254">
        <v>9</v>
      </c>
      <c r="B97" s="259" t="s">
        <v>387</v>
      </c>
      <c r="C97" s="255"/>
      <c r="D97" s="255"/>
      <c r="E97" s="263"/>
      <c r="F97" s="263"/>
    </row>
    <row r="98" spans="1:6" ht="51" x14ac:dyDescent="0.25">
      <c r="A98" s="256" t="s">
        <v>388</v>
      </c>
      <c r="B98" s="257" t="s">
        <v>389</v>
      </c>
      <c r="C98" s="256" t="s">
        <v>56</v>
      </c>
      <c r="D98" s="256">
        <v>960</v>
      </c>
      <c r="E98" s="260">
        <v>12983</v>
      </c>
      <c r="F98" s="260">
        <f t="shared" ref="F98:F100" si="8">+ROUND(D98*E98,0)</f>
        <v>12463680</v>
      </c>
    </row>
    <row r="99" spans="1:6" ht="38.25" x14ac:dyDescent="0.25">
      <c r="A99" s="256" t="s">
        <v>390</v>
      </c>
      <c r="B99" s="257" t="s">
        <v>391</v>
      </c>
      <c r="C99" s="256" t="s">
        <v>153</v>
      </c>
      <c r="D99" s="256">
        <v>80</v>
      </c>
      <c r="E99" s="260">
        <v>54953</v>
      </c>
      <c r="F99" s="260">
        <f t="shared" si="8"/>
        <v>4396240</v>
      </c>
    </row>
    <row r="100" spans="1:6" x14ac:dyDescent="0.25">
      <c r="A100" s="256" t="s">
        <v>392</v>
      </c>
      <c r="B100" s="257" t="s">
        <v>303</v>
      </c>
      <c r="C100" s="256" t="s">
        <v>291</v>
      </c>
      <c r="D100" s="256">
        <v>1</v>
      </c>
      <c r="E100" s="260">
        <v>115000</v>
      </c>
      <c r="F100" s="260">
        <f t="shared" si="8"/>
        <v>115000</v>
      </c>
    </row>
    <row r="101" spans="1:6" x14ac:dyDescent="0.25">
      <c r="A101" s="259"/>
      <c r="B101" s="259" t="s">
        <v>292</v>
      </c>
      <c r="C101" s="259"/>
      <c r="D101" s="259"/>
      <c r="E101" s="261"/>
      <c r="F101" s="262">
        <f>SUM(F98:F100)</f>
        <v>16974920</v>
      </c>
    </row>
    <row r="102" spans="1:6" x14ac:dyDescent="0.25">
      <c r="A102" s="259"/>
      <c r="B102" s="259"/>
      <c r="C102" s="259"/>
      <c r="D102" s="259"/>
      <c r="E102" s="261"/>
      <c r="F102" s="262"/>
    </row>
    <row r="103" spans="1:6" ht="15.75" customHeight="1" x14ac:dyDescent="0.25">
      <c r="A103" s="259" t="s">
        <v>393</v>
      </c>
      <c r="B103" s="259"/>
      <c r="C103" s="259"/>
      <c r="D103" s="259"/>
      <c r="E103" s="261"/>
      <c r="F103" s="262">
        <f>+F19+F26+F39+F50+F60+F73+F84+F96+F101</f>
        <v>114403377</v>
      </c>
    </row>
    <row r="104" spans="1:6" x14ac:dyDescent="0.25">
      <c r="A104" s="259" t="s">
        <v>394</v>
      </c>
      <c r="B104" s="259"/>
      <c r="C104" s="259"/>
      <c r="D104" s="259"/>
      <c r="E104" s="261"/>
      <c r="F104" s="262">
        <f>+ROUND(F103*0.25,0)</f>
        <v>28600844</v>
      </c>
    </row>
    <row r="105" spans="1:6" ht="15.75" customHeight="1" x14ac:dyDescent="0.25">
      <c r="A105" s="259" t="s">
        <v>395</v>
      </c>
      <c r="B105" s="259"/>
      <c r="C105" s="259"/>
      <c r="D105" s="259"/>
      <c r="E105" s="261"/>
      <c r="F105" s="262">
        <f>SUM(F103:F104)</f>
        <v>143004221</v>
      </c>
    </row>
    <row r="106" spans="1:6" ht="15.75" customHeight="1" x14ac:dyDescent="0.25">
      <c r="A106" s="259" t="s">
        <v>396</v>
      </c>
      <c r="B106" s="259"/>
      <c r="C106" s="259"/>
      <c r="D106" s="259"/>
      <c r="E106" s="261"/>
      <c r="F106" s="262">
        <f>+ROUNDUP(F103*0.05*0.19,0)</f>
        <v>1086833</v>
      </c>
    </row>
    <row r="107" spans="1:6" ht="15.75" customHeight="1" x14ac:dyDescent="0.25">
      <c r="A107" s="259" t="s">
        <v>397</v>
      </c>
      <c r="B107" s="259"/>
      <c r="C107" s="259"/>
      <c r="D107" s="259"/>
      <c r="E107" s="261"/>
      <c r="F107" s="262">
        <f>SUM(F105:F106)</f>
        <v>144091054</v>
      </c>
    </row>
  </sheetData>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46" t="s">
        <v>85</v>
      </c>
      <c r="B1" s="346"/>
      <c r="C1" s="346"/>
      <c r="D1" s="346"/>
      <c r="E1" s="346"/>
      <c r="F1" s="346"/>
    </row>
    <row r="2" spans="1:6" x14ac:dyDescent="0.25">
      <c r="A2" s="346"/>
      <c r="B2" s="346"/>
      <c r="C2" s="346"/>
      <c r="D2" s="346"/>
      <c r="E2" s="346"/>
      <c r="F2" s="346"/>
    </row>
    <row r="3" spans="1:6" ht="18" customHeight="1" x14ac:dyDescent="0.25">
      <c r="A3" s="347" t="s">
        <v>63</v>
      </c>
      <c r="B3" s="347"/>
      <c r="C3" s="347"/>
      <c r="D3" s="347"/>
      <c r="E3" s="347"/>
      <c r="F3" s="347"/>
    </row>
    <row r="4" spans="1:6" ht="59.25" customHeight="1" x14ac:dyDescent="0.25">
      <c r="A4" s="347"/>
      <c r="B4" s="347"/>
      <c r="C4" s="347"/>
      <c r="D4" s="347"/>
      <c r="E4" s="347"/>
      <c r="F4" s="347"/>
    </row>
    <row r="5" spans="1:6" x14ac:dyDescent="0.25">
      <c r="A5" s="347"/>
      <c r="B5" s="347"/>
      <c r="C5" s="347"/>
      <c r="D5" s="347"/>
      <c r="E5" s="347"/>
      <c r="F5" s="347"/>
    </row>
    <row r="6" spans="1:6" ht="15" customHeight="1" x14ac:dyDescent="0.25">
      <c r="A6" s="348" t="s">
        <v>88</v>
      </c>
      <c r="B6" s="348"/>
      <c r="C6" s="348"/>
      <c r="D6" s="348"/>
      <c r="E6" s="348"/>
      <c r="F6" s="348"/>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VERIFICACION JURIDICA</vt:lpstr>
      <vt:lpstr>VERIFICACION FINANCIERA</vt:lpstr>
      <vt:lpstr>VERIFICACION TECNICA</vt:lpstr>
      <vt:lpstr>VTE</vt:lpstr>
      <vt:lpstr>CALIFICACION PERSONAL</vt:lpstr>
      <vt:lpstr>CORREC. ARITM.</vt:lpstr>
      <vt:lpstr>PO</vt:lpstr>
      <vt:lpstr>PROPUESTA ECONOMICA</vt:lpstr>
      <vt:lpstr>'CALIFICACION PERSONAL'!Área_de_impresión</vt:lpstr>
      <vt:lpstr>'VERIFICACION JURIDICA'!Área_de_impresión</vt:lpstr>
      <vt:lpstr>'VERIFICACION TECNICA'!Área_de_impresión</vt:lpstr>
      <vt:lpstr>'VERIFICACION TECNICA'!formula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2018-03-07T21:43:59Z</dcterms:modified>
</cp:coreProperties>
</file>